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IMuYNhCHrEeKfWKz5ZSsioQcjc2XLgp02jBbrlY2DVxB/2ZY0AXuqCS9OZrOGPM8tUu43G1Se+6iJJLAePDtg==" workbookSaltValue="tO+O3Vorgu/3WRmYHR5S2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L20" i="2"/>
  <c r="U9" i="17"/>
  <c r="U31" i="17" s="1"/>
  <c r="V10" i="16"/>
  <c r="AP14" i="16"/>
  <c r="V9" i="16"/>
  <c r="X13"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L17" i="14"/>
  <c r="T31" i="8"/>
  <c r="J29" i="2"/>
  <c r="F11" i="16"/>
  <c r="BL11" i="16" s="1"/>
  <c r="BG17" i="13"/>
  <c r="BE17" i="13"/>
  <c r="V25" i="16"/>
  <c r="L9" i="2"/>
  <c r="AA11" i="16"/>
  <c r="X16" i="16"/>
  <c r="X23" i="16" s="1"/>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<sst xmlns="http://schemas.openxmlformats.org/spreadsheetml/2006/main" count="2682" uniqueCount="1193">
  <si>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</si>
  <si>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</si>
  <si>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</si>
  <si>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</si>
  <si>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</si>
  <si>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</si>
  <si>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</si>
  <si>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</si>
  <si>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</si>
  <si>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</si>
  <si>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</si>
  <si>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</si>
  <si>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</si>
  <si>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</si>
  <si>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</si>
  <si>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</si>
  <si>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</si>
  <si>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</si>
  <si>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</si>
  <si>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</si>
  <si>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</si>
  <si>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</si>
  <si>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</si>
  <si>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</si>
  <si>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</si>
  <si>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</si>
  <si>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</si>
  <si>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</si>
  <si>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</si>
  <si>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</si>
  <si>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</si>
  <si>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</si>
  <si>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</si>
  <si>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</si>
  <si>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</si>
  <si>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</si>
  <si>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</si>
  <si>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</si>
  <si>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</si>
  <si>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</si>
  <si>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</si>
  <si>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</si>
  <si>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</si>
  <si>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</si>
  <si>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</si>
  <si>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</si>
  <si>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</si>
  <si>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</si>
  <si>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</si>
  <si>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</si>
  <si>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</si>
  <si>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</si>
  <si>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</si>
  <si>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</si>
  <si>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</si>
  <si>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</si>
  <si>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</si>
  <si>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</si>
  <si>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</si>
  <si>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</si>
  <si>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</si>
  <si>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</si>
  <si>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</si>
  <si>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</si>
  <si>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</si>
  <si>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</si>
  <si>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</si>
  <si>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</si>
  <si>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</si>
  <si>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</si>
  <si>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</si>
  <si>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</si>
  <si>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</si>
  <si>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</si>
  <si>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</si>
  <si>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</si>
  <si>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</si>
  <si>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</si>
  <si>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</si>
  <si>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</si>
  <si>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</si>
  <si>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</si>
  <si>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</si>
  <si>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</si>
  <si>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</si>
  <si>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</si>
  <si>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</si>
  <si>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</si>
  <si>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</si>
  <si>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</si>
  <si>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</si>
  <si>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</si>
  <si>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</si>
  <si>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</si>
  <si>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</si>
  <si>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</si>
  <si>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</si>
  <si>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</si>
  <si>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</si>
  <si>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</si>
  <si>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</si>
  <si>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</si>
  <si>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</si>
  <si>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</si>
  <si>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</si>
  <si>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</si>
  <si>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</si>
  <si>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</si>
  <si>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</si>
  <si>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</si>
  <si>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</si>
  <si>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</si>
  <si>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</si>
  <si>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</si>
  <si>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</si>
  <si>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</si>
  <si>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</si>
  <si>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</si>
  <si>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</si>
  <si>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</si>
  <si>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</si>
  <si>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</si>
  <si>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</si>
  <si>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</si>
  <si>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</si>
  <si>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</si>
  <si>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</si>
  <si>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</si>
  <si>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</si>
  <si>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</si>
  <si>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</si>
  <si>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</si>
  <si>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</si>
  <si>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</si>
  <si>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</si>
  <si>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</si>
  <si>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</si>
  <si>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</si>
  <si>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</si>
  <si>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</si>
  <si>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</si>
  <si>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</si>
  <si>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</si>
  <si>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</si>
  <si>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</si>
  <si>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</si>
  <si>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</si>
  <si>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</si>
  <si>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</si>
  <si>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</si>
  <si>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</si>
  <si>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</si>
  <si>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</si>
  <si>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</si>
  <si>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</si>
  <si>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</si>
  <si>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</si>
  <si>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</si>
  <si>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</si>
  <si>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</si>
  <si>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</si>
  <si>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</si>
  <si>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</si>
  <si>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</si>
  <si>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</si>
  <si>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</si>
  <si>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</si>
  <si>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</si>
  <si>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</si>
  <si>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</si>
  <si>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</si>
  <si>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</si>
  <si>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</si>
  <si>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</si>
  <si>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</si>
  <si>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</si>
  <si>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</si>
  <si>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</si>
  <si>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</si>
  <si>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</si>
  <si>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</si>
  <si>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</si>
  <si>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</si>
  <si>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</si>
  <si>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</si>
  <si>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</si>
  <si>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</si>
  <si>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</si>
  <si>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</si>
  <si>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</si>
  <si>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</si>
  <si>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</si>
  <si>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</si>
  <si>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</si>
  <si>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</si>
  <si>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</si>
  <si>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</si>
  <si>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</si>
  <si>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</si>
  <si>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</si>
  <si>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</si>
  <si>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</si>
  <si>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</si>
  <si>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</si>
  <si>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</si>
  <si>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</si>
  <si>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</si>
  <si>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</si>
  <si>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</si>
  <si>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</si>
  <si>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</si>
  <si>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</si>
  <si>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</si>
  <si>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</si>
  <si>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</si>
  <si>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</si>
  <si>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</si>
  <si>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</si>
  <si>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</si>
  <si>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</si>
  <si>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</si>
  <si>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</si>
  <si>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</si>
  <si>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</si>
  <si>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</si>
  <si>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</si>
  <si>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</si>
  <si>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</si>
  <si>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</si>
  <si>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</si>
  <si>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</si>
  <si>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</si>
  <si>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</si>
  <si>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</si>
  <si>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</si>
  <si>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</si>
  <si>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</si>
  <si>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</si>
  <si>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</si>
  <si>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</si>
  <si>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</si>
  <si>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</si>
  <si>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</si>
  <si>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</si>
  <si>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</si>
  <si>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</si>
  <si>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</si>
  <si>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</si>
  <si>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</si>
  <si>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</si>
  <si>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</si>
  <si>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</si>
  <si>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</si>
  <si>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</si>
  <si>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</si>
  <si>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</si>
  <si>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</si>
  <si>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</si>
  <si>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</si>
  <si>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</si>
  <si>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</si>
  <si>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</si>
  <si>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</si>
  <si>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</si>
  <si>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</si>
  <si>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</si>
  <si>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</si>
  <si>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</si>
  <si>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</si>
  <si>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</si>
  <si>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</si>
  <si>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</si>
  <si>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</si>
  <si>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</si>
  <si>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</si>
  <si>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</si>
  <si>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</si>
  <si>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</si>
  <si>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</si>
  <si>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</si>
  <si>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</si>
  <si>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</si>
  <si>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</si>
  <si>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</si>
  <si>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</si>
  <si>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</si>
  <si>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</si>
  <si>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</si>
  <si>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</si>
  <si>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</si>
  <si>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</si>
  <si>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</si>
  <si>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</si>
  <si>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</si>
  <si>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</si>
  <si>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</si>
  <si>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</si>
  <si>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</si>
  <si>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</si>
  <si>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</si>
  <si>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</si>
  <si>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</si>
  <si>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</si>
  <si>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</si>
  <si>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</si>
  <si>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</si>
  <si>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</si>
  <si>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</si>
  <si>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</si>
  <si>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</si>
  <si>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</si>
  <si>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</si>
  <si>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</si>
  <si>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</si>
  <si>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</si>
  <si>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</si>
  <si>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</si>
  <si>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</si>
  <si>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</si>
  <si>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</si>
  <si>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</si>
  <si>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</si>
  <si>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</si>
  <si>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</si>
  <si>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</si>
  <si>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</si>
  <si>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</si>
  <si>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</si>
  <si>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</si>
  <si>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</si>
  <si>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</si>
  <si>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</si>
  <si>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</si>
  <si>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</si>
  <si>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</si>
  <si>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</si>
  <si>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</si>
  <si>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</si>
  <si>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</si>
  <si>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</si>
  <si>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</si>
  <si>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</si>
  <si>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</si>
  <si>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</si>
  <si>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</si>
  <si>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</si>
  <si>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</si>
  <si>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</si>
  <si>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</si>
  <si>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</si>
  <si>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</si>
  <si>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</si>
  <si>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</si>
  <si>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</si>
  <si>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</si>
  <si>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</si>
  <si>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</si>
  <si>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</si>
  <si>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</si>
  <si>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</si>
  <si>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</si>
  <si>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</si>
  <si>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</si>
  <si>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</si>
  <si>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</si>
  <si>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</si>
  <si>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</si>
  <si>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</si>
  <si>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</si>
  <si>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</si>
  <si>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</si>
  <si>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</si>
  <si>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</si>
  <si>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</si>
  <si>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</si>
  <si>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</si>
  <si>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</si>
  <si>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</si>
  <si>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</si>
  <si>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</si>
  <si>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</si>
  <si>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</si>
  <si>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</si>
  <si>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</si>
  <si>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</si>
  <si>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</si>
  <si>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</si>
  <si>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</si>
  <si>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</si>
  <si>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</si>
  <si>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</si>
  <si>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</si>
  <si>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</si>
  <si>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</si>
  <si>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</si>
  <si>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</si>
  <si>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</si>
  <si>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</si>
  <si>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</si>
  <si>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</si>
  <si>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</si>
  <si>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</si>
  <si>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</si>
  <si>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</si>
  <si>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</si>
  <si>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</si>
  <si>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</si>
  <si>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</si>
  <si>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</si>
  <si>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</si>
  <si>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</si>
  <si>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</si>
  <si>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</si>
  <si>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</si>
  <si>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</si>
  <si>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</si>
  <si>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</si>
  <si>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</si>
  <si>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</si>
  <si>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</si>
  <si>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</si>
  <si>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</si>
  <si>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</si>
  <si>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</si>
  <si>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</si>
  <si>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</si>
  <si>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</si>
  <si>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</si>
  <si>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</si>
  <si>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</si>
  <si>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</si>
  <si>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</si>
  <si>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</si>
  <si>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</si>
  <si>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</si>
  <si>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</si>
  <si>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</si>
  <si>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</si>
  <si>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</si>
  <si>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</si>
  <si>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</si>
  <si>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</si>
  <si>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</si>
  <si>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</si>
  <si>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</si>
  <si>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</si>
  <si>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</si>
  <si>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</si>
  <si>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</si>
  <si>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</si>
  <si>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</si>
  <si>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</si>
  <si>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</si>
  <si>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</si>
  <si>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</si>
  <si>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</si>
  <si>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</si>
  <si>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</si>
  <si>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</si>
  <si>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</si>
  <si>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</si>
  <si>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</si>
  <si>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</si>
  <si>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</si>
  <si>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</si>
  <si>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</si>
  <si>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</si>
  <si>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</si>
  <si>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</si>
  <si>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</si>
  <si>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</si>
  <si>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</si>
  <si>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</si>
  <si>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</si>
  <si>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</si>
  <si>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</si>
  <si>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</si>
  <si>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</si>
  <si>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</si>
  <si>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</si>
  <si>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</si>
  <si>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</si>
  <si>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</si>
  <si>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</si>
  <si>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</si>
  <si>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</si>
  <si>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</si>
  <si>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</si>
  <si>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</si>
  <si>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</si>
  <si>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</si>
  <si>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</si>
  <si>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</si>
  <si>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</si>
  <si>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</si>
  <si>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</si>
  <si>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</si>
  <si>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</si>
  <si>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</si>
  <si>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</si>
  <si>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</si>
  <si>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</si>
  <si>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</si>
  <si>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</si>
  <si>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</si>
  <si>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</si>
  <si>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</si>
  <si>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</si>
  <si>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</si>
  <si>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</si>
  <si>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</si>
  <si>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</si>
  <si>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</si>
  <si>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</si>
  <si>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</si>
  <si>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</si>
  <si>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</si>
  <si>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</si>
  <si>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</si>
  <si>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</si>
  <si>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</si>
  <si>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</si>
  <si>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</si>
  <si>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</si>
  <si>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</si>
  <si>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</si>
  <si>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</si>
  <si>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</si>
  <si>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</si>
  <si>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</si>
  <si>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</si>
  <si>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</si>
  <si>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</si>
  <si>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</si>
  <si>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</si>
  <si>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</si>
  <si>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</si>
  <si>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</si>
  <si>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</si>
  <si>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</si>
  <si>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</si>
  <si>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</si>
  <si>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</si>
  <si>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</si>
  <si>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</si>
  <si>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</si>
  <si>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</si>
  <si>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</si>
  <si>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</si>
  <si>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</si>
  <si>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</si>
  <si>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</si>
  <si>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</si>
  <si>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</si>
  <si>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</si>
  <si>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</si>
  <si>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</si>
  <si>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</si>
  <si>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</si>
  <si>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</si>
  <si>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</si>
  <si>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</si>
  <si>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</si>
  <si>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</si>
  <si>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</si>
  <si>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</si>
  <si>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</si>
  <si>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</si>
  <si>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</si>
  <si>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</si>
  <si>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</si>
  <si>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</si>
  <si>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</si>
  <si>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</si>
  <si>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</si>
  <si>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</si>
  <si>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</si>
  <si>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</si>
  <si>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</si>
  <si>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</si>
  <si>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</si>
  <si>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</si>
  <si>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</si>
  <si>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</si>
  <si>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</si>
  <si>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</si>
  <si>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</si>
  <si>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</si>
  <si>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</si>
  <si>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</si>
  <si>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</si>
  <si>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</si>
  <si>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</si>
  <si>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</si>
  <si>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</si>
  <si>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</si>
  <si>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</si>
  <si>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</si>
  <si>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</si>
  <si>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</si>
  <si>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</si>
  <si>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</si>
  <si>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</si>
  <si>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</si>
  <si>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</si>
  <si>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</si>
  <si>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</si>
  <si>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</si>
  <si>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</si>
  <si>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</si>
  <si>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</si>
  <si>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</si>
  <si>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</si>
  <si>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</si>
  <si>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</si>
  <si>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</si>
  <si>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</si>
  <si>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</si>
  <si>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</si>
  <si>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</si>
  <si>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</si>
  <si>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</si>
  <si>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</si>
  <si>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</si>
  <si>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</si>
  <si>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</si>
  <si>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</si>
  <si>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</si>
  <si>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</si>
  <si>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</si>
  <si>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</si>
  <si>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</si>
  <si>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</si>
  <si>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</si>
  <si>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</si>
  <si>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</si>
  <si>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</si>
  <si>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</si>
  <si>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</si>
  <si>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</si>
  <si>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</si>
  <si>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</si>
  <si>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</si>
  <si>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</si>
  <si>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</si>
  <si>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</si>
  <si>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</si>
  <si>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</si>
  <si>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</si>
  <si>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</si>
  <si>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</si>
  <si>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</si>
  <si>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</si>
  <si>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</si>
  <si>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</si>
  <si>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</si>
  <si>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</si>
  <si>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</si>
  <si>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</si>
  <si>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</si>
  <si>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</si>
  <si>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</si>
  <si>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</si>
  <si>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</si>
  <si>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</si>
  <si>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</si>
  <si>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</si>
  <si>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</si>
  <si>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</si>
  <si>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</si>
  <si>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</si>
  <si>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</si>
  <si>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</si>
  <si>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</si>
  <si>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</si>
  <si>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</si>
  <si>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</si>
  <si>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</si>
  <si>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</si>
  <si>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</si>
  <si>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</si>
  <si>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</si>
  <si>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</si>
  <si>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</si>
  <si>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</si>
  <si>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</si>
  <si>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</si>
  <si>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</si>
  <si>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</si>
  <si>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</si>
  <si>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</si>
  <si>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</si>
  <si>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</si>
  <si>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</si>
  <si>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</si>
  <si>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</si>
  <si>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</si>
  <si>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</si>
  <si>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</si>
  <si>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</si>
  <si>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</si>
  <si>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</si>
  <si>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</si>
  <si>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</si>
  <si>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</si>
  <si>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</si>
  <si>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</si>
  <si>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</si>
  <si>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</si>
  <si>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</si>
  <si>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</si>
  <si>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</si>
  <si>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</si>
  <si>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</si>
  <si>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</si>
  <si>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</si>
  <si>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</si>
  <si>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</si>
  <si>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</si>
  <si>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</si>
  <si>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</si>
  <si>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</si>
  <si>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</si>
  <si>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</si>
  <si>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</si>
  <si>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</si>
  <si>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</si>
  <si>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</si>
  <si>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</si>
  <si>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</si>
  <si>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</si>
  <si>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</si>
  <si>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</si>
  <si>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</si>
  <si>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</si>
  <si>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</si>
  <si>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</si>
  <si>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</si>
  <si>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</si>
  <si>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</si>
  <si>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</si>
  <si>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</si>
  <si>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</si>
  <si>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</si>
  <si>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</si>
  <si>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</si>
  <si>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</si>
  <si>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</si>
  <si>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</si>
  <si>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</si>
  <si>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</si>
  <si>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</si>
  <si>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</si>
  <si>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</si>
  <si>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</si>
  <si>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</si>
  <si>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</si>
  <si>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</si>
  <si>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</si>
  <si>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</si>
  <si>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</si>
  <si>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</si>
  <si>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</si>
  <si>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</si>
  <si>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</si>
  <si>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</si>
  <si>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</si>
  <si>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</si>
  <si>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</si>
  <si>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</si>
  <si>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</si>
  <si>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</si>
  <si>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</si>
  <si>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</si>
  <si>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</si>
  <si>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</si>
  <si>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</si>
  <si>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</si>
  <si>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</si>
  <si>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</si>
  <si>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</si>
  <si>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</si>
  <si>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</si>
  <si>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</si>
  <si>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</si>
  <si>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</si>
  <si>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</si>
  <si>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</si>
  <si>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</si>
  <si>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</si>
  <si>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</si>
  <si>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</si>
  <si>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</si>
  <si>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</si>
  <si>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</si>
  <si>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</si>
  <si>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</si>
  <si>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</si>
  <si>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</si>
  <si>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</si>
  <si>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</si>
  <si>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</si>
  <si>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</si>
  <si>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</si>
  <si>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</si>
  <si>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</si>
  <si>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</si>
  <si>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</si>
  <si>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</si>
  <si>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</si>
  <si>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</si>
  <si>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</si>
  <si>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</si>
  <si>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</si>
  <si>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</si>
  <si>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</si>
  <si>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</si>
  <si>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</si>
  <si>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</si>
  <si>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</si>
  <si>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</si>
  <si>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</si>
  <si>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</si>
  <si>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</si>
  <si>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</si>
  <si>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</si>
  <si>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</si>
  <si>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</si>
  <si>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</si>
  <si>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</si>
  <si>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</si>
  <si>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</si>
  <si>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</si>
  <si>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</si>
  <si>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</si>
  <si>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</si>
  <si>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</si>
  <si>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</si>
  <si>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</si>
  <si>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</si>
  <si>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</si>
  <si>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</si>
  <si>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</si>
  <si>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</si>
  <si>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</si>
  <si>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</si>
  <si>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</si>
  <si>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</si>
  <si>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</si>
  <si>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</si>
  <si>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</si>
  <si>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</si>
  <si>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</si>
  <si>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</si>
  <si>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</si>
  <si>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</si>
  <si>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</si>
  <si>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</si>
  <si>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</si>
  <si>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</si>
  <si>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</si>
  <si>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</si>
  <si>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</si>
  <si>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</si>
  <si>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</si>
  <si>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</si>
  <si>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</si>
  <si>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</si>
  <si>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</si>
  <si>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</si>
  <si>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</si>
  <si>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</si>
  <si>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</si>
  <si>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</si>
  <si>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</si>
  <si>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</si>
  <si>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</si>
  <si>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</si>
  <si>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</si>
  <si>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</si>
  <si>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</si>
  <si>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</si>
  <si>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</si>
  <si>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</si>
  <si>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</si>
  <si>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</si>
  <si>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</si>
  <si>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</si>
  <si>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</si>
  <si>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</si>
  <si>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</si>
  <si>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</si>
  <si>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</si>
  <si>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</si>
  <si>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</si>
  <si>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</si>
  <si>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</si>
  <si>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</si>
  <si>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</si>
  <si>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</si>
  <si>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</si>
  <si>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</si>
  <si>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</si>
  <si>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</si>
  <si>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</si>
  <si>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</si>
  <si>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</si>
  <si>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</si>
  <si>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</si>
  <si>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</si>
  <si>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</si>
  <si>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</si>
  <si>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</si>
  <si>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</si>
  <si>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</si>
  <si>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</si>
  <si>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</si>
  <si>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</si>
  <si>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</si>
  <si>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</si>
  <si>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</si>
  <si>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</si>
  <si>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</si>
  <si>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</si>
  <si>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</si>
  <si>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</si>
  <si>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</si>
  <si>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</si>
  <si>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</si>
  <si>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</si>
  <si>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</si>
  <si>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</si>
  <si>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</si>
  <si>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</si>
  <si>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</si>
  <si>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</si>
  <si>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</si>
  <si>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</si>
  <si>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</si>
  <si>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</si>
  <si>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</si>
  <si>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</si>
  <si>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</si>
  <si>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</si>
  <si>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</si>
  <si>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</si>
  <si>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</si>
  <si>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</si>
  <si>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</si>
  <si>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</si>
  <si>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</si>
  <si>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</si>
  <si>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</si>
  <si>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</si>
  <si>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</si>
  <si>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</si>
  <si>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</si>
  <si>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</si>
  <si>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</si>
  <si>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</si>
  <si>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</si>
  <si>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</si>
  <si>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</si>
  <si>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</si>
  <si>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</si>
  <si>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</si>
  <si>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</si>
  <si>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</si>
  <si>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</si>
  <si>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</si>
  <si>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</si>
  <si>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</si>
  <si>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</si>
  <si>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</si>
  <si>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</si>
  <si>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</si>
  <si>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</si>
  <si>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</si>
  <si>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</si>
  <si>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</si>
  <si>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</si>
  <si>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</si>
  <si>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</si>
  <si>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</si>
  <si>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</si>
  <si>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</si>
  <si>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</si>
  <si>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</si>
  <si>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</si>
  <si>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</si>
  <si>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</si>
  <si>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</si>
  <si>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</si>
  <si>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</si>
  <si>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</si>
  <si>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</si>
  <si>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</si>
  <si>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</si>
  <si>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</si>
  <si>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</si>
  <si>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</si>
  <si>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</si>
  <si>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</si>
  <si>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</si>
  <si>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</si>
  <si>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</si>
  <si>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</si>
  <si>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</si>
  <si>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</si>
  <si>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</si>
  <si>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</si>
  <si>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</si>
  <si>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</si>
  <si>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</si>
  <si>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</si>
  <si>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</si>
  <si>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</si>
  <si>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</si>
  <si>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</si>
  <si>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</si>
  <si>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</si>
  <si>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</si>
  <si>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</si>
  <si>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</si>
  <si>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</si>
  <si>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</si>
  <si>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</si>
  <si>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</si>
  <si>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</si>
  <si>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</si>
  <si>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</si>
  <si>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</si>
  <si>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</si>
  <si>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</si>
  <si>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</si>
  <si>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</si>
  <si>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</si>
  <si>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</si>
  <si>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</si>
  <si>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</si>
  <si>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</si>
  <si>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</si>
  <si>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</si>
  <si>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</si>
  <si>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</si>
  <si>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</si>
  <si>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</si>
  <si>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</si>
  <si>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</si>
  <si>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</si>
  <si>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</si>
  <si>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</si>
  <si>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</si>
  <si>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</si>
  <si>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</si>
  <si>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</si>
  <si>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</si>
  <si>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</si>
  <si>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</si>
  <si>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</si>
  <si>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</si>
  <si>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</si>
  <si>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</si>
  <si>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</si>
  <si>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</si>
  <si>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</si>
  <si>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</si>
  <si>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</si>
  <si>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</si>
  <si>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</si>
  <si>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</si>
  <si>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</si>
  <si>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</si>
  <si>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</si>
  <si>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</si>
  <si>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</si>
  <si>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</si>
  <si>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</si>
  <si>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</si>
  <si>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</si>
  <si>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</si>
  <si>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</si>
  <si>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</si>
  <si>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</si>
  <si>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</si>
  <si>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</si>
  <si>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</si>
  <si>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</si>
  <si>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</si>
  <si>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</si>
  <si>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</si>
  <si>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</si>
  <si>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</si>
  <si>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</si>
  <si>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</si>
  <si>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</si>
  <si>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</si>
  <si>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</si>
  <si>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</si>
  <si>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</si>
  <si>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</si>
  <si>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</si>
  <si>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</si>
  <si>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</si>
  <si>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</si>
  <si>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</si>
  <si>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</si>
  <si>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</si>
  <si>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</si>
  <si>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</si>
  <si>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</si>
  <si>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</si>
  <si>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</si>
  <si>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</si>
  <si>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</si>
  <si>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</si>
  <si>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</si>
  <si>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</si>
  <si>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</si>
  <si>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</si>
  <si>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</si>
  <si>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</si>
  <si>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</si>
  <si>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</si>
  <si>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</si>
  <si>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</si>
  <si>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</si>
  <si>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</si>
  <si>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</si>
  <si>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</si>
  <si>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</si>
  <si>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</si>
  <si>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</si>
  <si>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</si>
  <si>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</si>
  <si>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</si>
  <si>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</si>
  <si>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</si>
  <si>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</si>
  <si>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</si>
  <si>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</si>
  <si>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</si>
  <si>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</si>
  <si>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</si>
  <si>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</si>
  <si>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</si>
  <si>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</si>
  <si>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</si>
  <si>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</si>
  <si>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</si>
  <si>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</si>
  <si>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</si>
  <si>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</si>
  <si>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</si>
  <si>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</si>
  <si>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</si>
  <si>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</si>
  <si>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</si>
  <si>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</si>
  <si>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</si>
  <si>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</si>
  <si>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</si>
  <si>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</si>
  <si>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</si>
  <si>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</si>
  <si>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</si>
  <si>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</si>
  <si>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</si>
  <si>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</si>
  <si>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</si>
  <si>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</si>
  <si>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</si>
  <si>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</si>
  <si>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</si>
  <si>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</si>
  <si>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</si>
  <si>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</si>
  <si>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</si>
  <si>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</si>
  <si>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</si>
  <si>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</si>
  <si>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</si>
  <si>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</si>
  <si>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</si>
  <si>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</si>
  <si>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</si>
  <si>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</si>
  <si>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</si>
  <si>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</si>
  <si>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</si>
  <si>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</si>
  <si>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</si>
  <si>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A 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</si>
</sst>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Q9oCLmFTO3yDATE4lur+w76n5mklc527H+gT+/PPZejhTnjB50WOIYWOrxKACH2H1/kAhbsC7SSjSqzIGtSCQ==" saltValue="j3y4itbCEQCT/k0IOvYz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8.134730538922156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81</v>
      </c>
      <c r="D17" s="239">
        <f>IF(ISNUMBER(IF(D_I="SI",Datos!I17,Datos!I17+Datos!AC17)),IF(D_I="SI",Datos!I17,Datos!I17+Datos!AC17)," - ")</f>
        <v>81</v>
      </c>
      <c r="E17" s="240">
        <f>IF(ISNUMBER(IF(D_I="SI",Datos!J17,Datos!J17+Datos!AD17)),IF(D_I="SI",Datos!J17,Datos!J17+Datos!AD17)," - ")</f>
        <v>147</v>
      </c>
      <c r="F17" s="240">
        <f>IF(ISNUMBER(IF(D_I="SI",Datos!K17,Datos!K17+Datos!AE17)),IF(D_I="SI",Datos!K17,Datos!K17+Datos!AE17)," - ")</f>
        <v>141</v>
      </c>
      <c r="G17" s="1390" t="str">
        <f>IF(Datos!E17&lt;&gt;"",Datos!E17,Datos!D17)</f>
        <v>04</v>
      </c>
      <c r="H17" s="241">
        <f>IF(ISNUMBER(IF(D_I="SI",Datos!L17,Datos!L17+Datos!AF17)),IF(D_I="SI",Datos!L17,Datos!L17+Datos!AF17)," - ")</f>
        <v>87</v>
      </c>
      <c r="I17" s="1400" t="str">
        <f>IF(ISNUMBER(Datos!AS17/Datos!BM17),Datos!AS17/Datos!BM17," - ")</f>
        <v xml:space="preserve"> - </v>
      </c>
      <c r="J17" s="1401">
        <f>IF(ISNUMBER(Datos!BY17/Datos!CN17),Datos!BY17/Datos!CN17," - ")</f>
        <v>0</v>
      </c>
      <c r="K17" s="244">
        <f t="shared" si="3"/>
        <v>7.407407407407407E-2</v>
      </c>
      <c r="L17" s="1402">
        <f>IF(ISNUMBER(NºAsuntos!I17/NºAsuntos!G17),(NºAsuntos!I17/NºAsuntos!G17)*11," - ")</f>
        <v>6.7872340425531918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7</v>
      </c>
      <c r="F18" s="240">
        <f>IF(ISNUMBER(IF(D_I="SI",Datos!K18,Datos!K18+Datos!AE18)),IF(D_I="SI",Datos!K18,Datos!K18+Datos!AE18)," - ")</f>
        <v>7</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14.142857142857144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v>
      </c>
      <c r="D23" s="1407">
        <f>SUBTOTAL(9,D16:D22)</f>
        <v>90</v>
      </c>
      <c r="E23" s="1408">
        <f>SUBTOTAL(9,E16:E22)</f>
        <v>154</v>
      </c>
      <c r="F23" s="1408">
        <f>SUBTOTAL(9,F16:F22)</f>
        <v>148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v>
      </c>
      <c r="D31" s="1435">
        <f>SUBTOTAL(9,D9:D30)</f>
        <v>95</v>
      </c>
      <c r="E31" s="1436">
        <f>SUBTOTAL(9,E9:E30)</f>
        <v>155</v>
      </c>
      <c r="F31" s="1436">
        <f>SUBTOTAL(9,F9:F30)</f>
        <v>149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ITRY1QUemt7Pw0/KinfMdMXGVaPPF7l9GmmbeloQf5/MZvWRtQ5fa+QivazwP8uTOpqfkwx287Y2FJuPBKjZg==" saltValue="f2OHh4JmALA8rVsWtLE+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MrDhIHY/dUCSifI9SnoTvlclq4SRGsASLap8lvBjkk4f+X7Xy4DZzPzMCDbDaS2XyHXPo9tXWQHogqDK/IWQ==" saltValue="mrHp0QnPgsKU84fEwxbc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1</v>
      </c>
      <c r="N10" s="194">
        <v>0</v>
      </c>
      <c r="O10" s="194">
        <v>0</v>
      </c>
      <c r="P10" s="194">
        <v>1</v>
      </c>
      <c r="Q10" s="194">
        <v>0</v>
      </c>
      <c r="R10" s="194">
        <v>4</v>
      </c>
      <c r="S10" s="194">
        <v>4</v>
      </c>
      <c r="T10" s="194">
        <v>1</v>
      </c>
      <c r="U10" s="194">
        <v>1</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v>
      </c>
      <c r="BA10" s="139">
        <f t="shared" si="0"/>
        <v>1</v>
      </c>
      <c r="BB10" s="139">
        <f t="shared" si="0"/>
        <v>4</v>
      </c>
      <c r="BC10" s="135">
        <f t="shared" si="0"/>
        <v>1</v>
      </c>
      <c r="BD10" s="136">
        <f>IF(ISNUMBER(BA10/AZ10),BA10/AZ10," - ")</f>
        <v>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266</v>
      </c>
      <c r="J12" s="196">
        <v>250</v>
      </c>
      <c r="K12" s="196">
        <v>289</v>
      </c>
      <c r="L12" s="196">
        <v>224</v>
      </c>
      <c r="M12" s="196">
        <v>112</v>
      </c>
      <c r="N12" s="196">
        <v>91</v>
      </c>
      <c r="O12" s="194">
        <v>112</v>
      </c>
      <c r="P12" s="196">
        <v>71</v>
      </c>
      <c r="Q12" s="196">
        <v>52</v>
      </c>
      <c r="R12" s="196">
        <v>778</v>
      </c>
      <c r="S12" s="196">
        <v>252</v>
      </c>
      <c r="T12" s="196">
        <v>249</v>
      </c>
      <c r="U12" s="196">
        <v>272</v>
      </c>
      <c r="V12" s="196">
        <v>229</v>
      </c>
      <c r="W12" s="196">
        <v>93</v>
      </c>
      <c r="X12" s="202">
        <v>100</v>
      </c>
      <c r="Y12" s="204">
        <v>19</v>
      </c>
      <c r="Z12" s="194">
        <v>49</v>
      </c>
      <c r="AA12" s="194">
        <v>45</v>
      </c>
      <c r="AB12" s="194">
        <v>23</v>
      </c>
      <c r="AC12" s="196">
        <v>0</v>
      </c>
      <c r="AD12" s="196">
        <v>0</v>
      </c>
      <c r="AE12" s="196">
        <v>0</v>
      </c>
      <c r="AF12" s="202">
        <v>0</v>
      </c>
      <c r="AG12" s="215">
        <v>67</v>
      </c>
      <c r="AH12" s="196">
        <v>50</v>
      </c>
      <c r="AI12" s="196">
        <v>47</v>
      </c>
      <c r="AJ12" s="216">
        <v>70</v>
      </c>
      <c r="AK12" s="195">
        <v>0</v>
      </c>
      <c r="AL12" s="196">
        <v>0</v>
      </c>
      <c r="AM12" s="196">
        <v>0</v>
      </c>
      <c r="AN12" s="202">
        <v>0</v>
      </c>
      <c r="AO12" s="283">
        <v>2</v>
      </c>
      <c r="AP12" s="168">
        <v>2</v>
      </c>
      <c r="AQ12" s="168">
        <v>2</v>
      </c>
      <c r="AR12" s="167">
        <v>2</v>
      </c>
      <c r="AS12" s="381" t="s">
        <v>1075</v>
      </c>
      <c r="AT12" s="216"/>
      <c r="AU12" s="215"/>
      <c r="AV12" s="216"/>
      <c r="AW12" s="215"/>
      <c r="AX12" s="216"/>
      <c r="AY12" s="136">
        <f t="shared" si="1"/>
        <v>319</v>
      </c>
      <c r="AZ12" s="137">
        <f t="shared" si="1"/>
        <v>299</v>
      </c>
      <c r="BA12" s="137">
        <f t="shared" si="1"/>
        <v>319</v>
      </c>
      <c r="BB12" s="137">
        <f t="shared" si="1"/>
        <v>299</v>
      </c>
      <c r="BC12" s="135">
        <f>IF(ISNUMBER(X12),X12," - ")</f>
        <v>100</v>
      </c>
      <c r="BD12" s="136">
        <f t="shared" si="2"/>
        <v>1.0668896321070234</v>
      </c>
      <c r="BE12" s="137">
        <f t="shared" si="3"/>
        <v>0.93730407523510972</v>
      </c>
      <c r="BF12" s="137">
        <f t="shared" si="4"/>
        <v>0.31347962382445144</v>
      </c>
      <c r="BG12" s="209">
        <f t="shared" si="5"/>
        <v>1.9373040752351096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271</v>
      </c>
      <c r="J14" s="197">
        <f t="shared" si="7"/>
        <v>251</v>
      </c>
      <c r="K14" s="197">
        <f t="shared" si="7"/>
        <v>290</v>
      </c>
      <c r="L14" s="197">
        <f t="shared" si="7"/>
        <v>229</v>
      </c>
      <c r="M14" s="197">
        <f t="shared" si="7"/>
        <v>113</v>
      </c>
      <c r="N14" s="197">
        <f t="shared" si="7"/>
        <v>91</v>
      </c>
      <c r="O14" s="197">
        <f t="shared" si="7"/>
        <v>112</v>
      </c>
      <c r="P14" s="197">
        <f t="shared" si="7"/>
        <v>72</v>
      </c>
      <c r="Q14" s="197">
        <f t="shared" si="7"/>
        <v>52</v>
      </c>
      <c r="R14" s="197">
        <f t="shared" si="7"/>
        <v>782</v>
      </c>
      <c r="S14" s="197">
        <f t="shared" si="7"/>
        <v>256</v>
      </c>
      <c r="T14" s="197">
        <f t="shared" si="7"/>
        <v>250</v>
      </c>
      <c r="U14" s="197">
        <f t="shared" si="7"/>
        <v>273</v>
      </c>
      <c r="V14" s="197">
        <f t="shared" si="7"/>
        <v>233</v>
      </c>
      <c r="W14" s="197">
        <f t="shared" si="7"/>
        <v>94</v>
      </c>
      <c r="X14" s="197">
        <f t="shared" si="7"/>
        <v>100</v>
      </c>
      <c r="Y14" s="197">
        <f t="shared" si="7"/>
        <v>19</v>
      </c>
      <c r="Z14" s="197">
        <f t="shared" si="7"/>
        <v>49</v>
      </c>
      <c r="AA14" s="197">
        <f t="shared" si="7"/>
        <v>45</v>
      </c>
      <c r="AB14" s="197">
        <f t="shared" si="7"/>
        <v>23</v>
      </c>
      <c r="AC14" s="197">
        <f t="shared" si="7"/>
        <v>0</v>
      </c>
      <c r="AD14" s="197">
        <f t="shared" si="7"/>
        <v>0</v>
      </c>
      <c r="AE14" s="197">
        <f t="shared" si="7"/>
        <v>0</v>
      </c>
      <c r="AF14" s="197">
        <f>SUBTOTAL(9,AF9:AF13)</f>
        <v>0</v>
      </c>
      <c r="AG14" s="197">
        <f t="shared" ref="AG14:AT14" si="8">SUBTOTAL(9,AG8:AG13)</f>
        <v>67</v>
      </c>
      <c r="AH14" s="197">
        <f t="shared" si="8"/>
        <v>50</v>
      </c>
      <c r="AI14" s="197">
        <f t="shared" si="8"/>
        <v>47</v>
      </c>
      <c r="AJ14" s="197">
        <f t="shared" si="8"/>
        <v>70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323</v>
      </c>
      <c r="AZ14" s="197">
        <f>SUBTOTAL(9,AZ8:AZ13)</f>
        <v>300</v>
      </c>
      <c r="BA14" s="197">
        <f>SUBTOTAL(9,BA8:BA13)</f>
        <v>320</v>
      </c>
      <c r="BB14" s="197">
        <f>SUBTOTAL(9,BB8:BB13)</f>
        <v>303</v>
      </c>
      <c r="BC14" s="197">
        <f>SUBTOTAL(9,BC8:BC13)</f>
        <v>101</v>
      </c>
      <c r="BD14" s="219">
        <f>IF(ISNUMBER(BA14/AZ14),BA14/AZ14," - ")</f>
        <v>1.0666666666666667</v>
      </c>
      <c r="BE14" s="220">
        <f>IF(ISNUMBER(BB14/BA14),BB14/BA14, " - ")</f>
        <v>0.94687500000000002</v>
      </c>
      <c r="BF14" s="220">
        <f>IF(ISNUMBER(BC14/BA14),BC14/BA14, " - ")</f>
        <v>0.31562499999999999</v>
      </c>
      <c r="BG14" s="221">
        <f>IF(ISNUMBER((AY14+AZ14)/BA14),(AY14+AZ14)/BA14," - ")</f>
        <v>1.9468749999999999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v>
      </c>
      <c r="J17" s="196">
        <v>147</v>
      </c>
      <c r="K17" s="196">
        <v>141</v>
      </c>
      <c r="L17" s="196">
        <v>87</v>
      </c>
      <c r="M17" s="196">
        <v>24</v>
      </c>
      <c r="N17" s="196">
        <v>83</v>
      </c>
      <c r="O17" s="194">
        <v>4</v>
      </c>
      <c r="P17" s="196">
        <v>3</v>
      </c>
      <c r="Q17" s="196">
        <v>7</v>
      </c>
      <c r="R17" s="196">
        <v>14</v>
      </c>
      <c r="S17" s="196">
        <v>112</v>
      </c>
      <c r="T17" s="196">
        <v>149</v>
      </c>
      <c r="U17" s="196">
        <v>168</v>
      </c>
      <c r="V17" s="196">
        <v>93</v>
      </c>
      <c r="W17" s="196">
        <v>25</v>
      </c>
      <c r="X17" s="202">
        <v>103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112</v>
      </c>
      <c r="AZ17" s="137">
        <f t="shared" si="10"/>
        <v>149</v>
      </c>
      <c r="BA17" s="137">
        <f t="shared" si="10"/>
        <v>168</v>
      </c>
      <c r="BB17" s="137">
        <f t="shared" si="10"/>
        <v>93</v>
      </c>
      <c r="BC17" s="135">
        <f>IF(ISNUMBER(W17),W17," - ")</f>
        <v>25</v>
      </c>
      <c r="BD17" s="136">
        <f t="shared" ref="BD17:BD22" si="12">IF(ISNUMBER(BA17/AZ17),BA17/AZ17," - ")</f>
        <v>1.1275167785234899</v>
      </c>
      <c r="BE17" s="137">
        <f t="shared" ref="BE17:BE22" si="13">IF(ISNUMBER(BB17/BA17),BB17/BA17, " - ")</f>
        <v>0.5535714285714286</v>
      </c>
      <c r="BF17" s="137">
        <f t="shared" ref="BF17:BF22" si="14">IF(ISNUMBER(BC17/BA17),BC17/BA17, " - ")</f>
        <v>0.14880952380952381</v>
      </c>
      <c r="BG17" s="209">
        <f t="shared" si="11"/>
        <v>1.5535714285714286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7</v>
      </c>
      <c r="K18" s="196">
        <v>7</v>
      </c>
      <c r="L18" s="196">
        <v>9</v>
      </c>
      <c r="M18" s="196">
        <v>1</v>
      </c>
      <c r="N18" s="196">
        <v>4</v>
      </c>
      <c r="O18" s="196">
        <v>0</v>
      </c>
      <c r="P18" s="196">
        <v>0</v>
      </c>
      <c r="Q18" s="196">
        <v>0</v>
      </c>
      <c r="R18" s="196">
        <v>0</v>
      </c>
      <c r="S18" s="196">
        <v>9</v>
      </c>
      <c r="T18" s="196">
        <v>5</v>
      </c>
      <c r="U18" s="196">
        <v>7</v>
      </c>
      <c r="V18" s="196">
        <v>7</v>
      </c>
      <c r="W18" s="196">
        <v>1</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5</v>
      </c>
      <c r="BA18" s="139">
        <f t="shared" si="15"/>
        <v>7</v>
      </c>
      <c r="BB18" s="139">
        <f t="shared" si="15"/>
        <v>7</v>
      </c>
      <c r="BC18" s="135">
        <f>IF(ISNUMBER(W18),W18," - ")</f>
        <v>1</v>
      </c>
      <c r="BD18" s="136">
        <f>IF(ISNUMBER(BA18/AZ18),BA18/AZ18," - ")</f>
        <v>1.4</v>
      </c>
      <c r="BE18" s="137">
        <f>IF(ISNUMBER(BB18/BA18),BB18/BA18, " - ")</f>
        <v>1</v>
      </c>
      <c r="BF18" s="137">
        <f>IF(ISNUMBER(BC18/BA18),BC18/BA18, " - ")</f>
        <v>0.14285714285714285</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90</v>
      </c>
      <c r="J23" s="197">
        <f t="shared" si="21"/>
        <v>154</v>
      </c>
      <c r="K23" s="197">
        <f t="shared" si="21"/>
        <v>148</v>
      </c>
      <c r="L23" s="197">
        <f t="shared" si="21"/>
        <v>96</v>
      </c>
      <c r="M23" s="197">
        <f t="shared" si="21"/>
        <v>25</v>
      </c>
      <c r="N23" s="197">
        <f t="shared" si="21"/>
        <v>87</v>
      </c>
      <c r="O23" s="197">
        <f t="shared" si="21"/>
        <v>4</v>
      </c>
      <c r="P23" s="197">
        <f t="shared" si="21"/>
        <v>3</v>
      </c>
      <c r="Q23" s="197">
        <f t="shared" si="21"/>
        <v>7</v>
      </c>
      <c r="R23" s="197">
        <f t="shared" si="21"/>
        <v>14</v>
      </c>
      <c r="S23" s="197">
        <f t="shared" si="21"/>
        <v>121</v>
      </c>
      <c r="T23" s="197">
        <f t="shared" si="21"/>
        <v>154</v>
      </c>
      <c r="U23" s="197">
        <f t="shared" si="21"/>
        <v>175</v>
      </c>
      <c r="V23" s="197">
        <f t="shared" si="21"/>
        <v>100</v>
      </c>
      <c r="W23" s="197">
        <f t="shared" si="21"/>
        <v>26</v>
      </c>
      <c r="X23" s="197">
        <f t="shared" si="21"/>
        <v>106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121</v>
      </c>
      <c r="AZ23" s="197">
        <f>SUBTOTAL(9,AZ15:AZ22)</f>
        <v>154</v>
      </c>
      <c r="BA23" s="197">
        <f>SUBTOTAL(9,BA15:BA22)</f>
        <v>175</v>
      </c>
      <c r="BB23" s="197">
        <f>SUBTOTAL(9,BB15:BB22)</f>
        <v>100</v>
      </c>
      <c r="BC23" s="197">
        <f>SUBTOTAL(9,BC15:BC22)</f>
        <v>26</v>
      </c>
      <c r="BD23" s="219">
        <f>IF(ISNUMBER(BA23/AZ23),BA23/AZ23," - ")</f>
        <v>1.1363636363636365</v>
      </c>
      <c r="BE23" s="220">
        <f>IF(ISNUMBER(BB23/BA23),BB23/BA23, " - ")</f>
        <v>0.5714285714285714</v>
      </c>
      <c r="BF23" s="220">
        <f>IF(ISNUMBER(BC23/BA23),BC23/BA23, " - ")</f>
        <v>0.14857142857142858</v>
      </c>
      <c r="BG23" s="221">
        <f>IF(ISNUMBER((AY23+AZ23)/BA23),(AY23+AZ23)/BA23," - ")</f>
        <v>1.5714285714285714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361</v>
      </c>
      <c r="J31" s="144">
        <f t="shared" si="36"/>
        <v>405</v>
      </c>
      <c r="K31" s="144">
        <f t="shared" si="36"/>
        <v>438</v>
      </c>
      <c r="L31" s="144">
        <f t="shared" si="36"/>
        <v>325</v>
      </c>
      <c r="M31" s="144">
        <f t="shared" si="36"/>
        <v>138</v>
      </c>
      <c r="N31" s="144">
        <f t="shared" si="36"/>
        <v>178</v>
      </c>
      <c r="O31" s="144">
        <f t="shared" si="36"/>
        <v>116</v>
      </c>
      <c r="P31" s="144">
        <f t="shared" si="36"/>
        <v>75</v>
      </c>
      <c r="Q31" s="144">
        <f t="shared" si="36"/>
        <v>59</v>
      </c>
      <c r="R31" s="144">
        <f t="shared" si="36"/>
        <v>796</v>
      </c>
      <c r="S31" s="144">
        <f t="shared" si="36"/>
        <v>377</v>
      </c>
      <c r="T31" s="144">
        <f t="shared" si="36"/>
        <v>404</v>
      </c>
      <c r="U31" s="144">
        <f t="shared" si="36"/>
        <v>448</v>
      </c>
      <c r="V31" s="144">
        <f t="shared" si="36"/>
        <v>333</v>
      </c>
      <c r="W31" s="144">
        <f t="shared" si="36"/>
        <v>120</v>
      </c>
      <c r="X31" s="144">
        <f t="shared" si="36"/>
        <v>206</v>
      </c>
      <c r="Y31" s="144">
        <f t="shared" si="36"/>
        <v>19</v>
      </c>
      <c r="Z31" s="144">
        <f t="shared" si="36"/>
        <v>49</v>
      </c>
      <c r="AA31" s="144">
        <f t="shared" si="36"/>
        <v>45</v>
      </c>
      <c r="AB31" s="144">
        <f t="shared" si="36"/>
        <v>23</v>
      </c>
      <c r="AC31" s="144">
        <f t="shared" si="36"/>
        <v>0</v>
      </c>
      <c r="AD31" s="144">
        <f t="shared" si="36"/>
        <v>0</v>
      </c>
      <c r="AE31" s="144">
        <f t="shared" si="36"/>
        <v>0</v>
      </c>
      <c r="AF31" s="144">
        <f t="shared" si="36"/>
        <v>0</v>
      </c>
      <c r="AG31" s="144">
        <f t="shared" si="36"/>
        <v>67</v>
      </c>
      <c r="AH31" s="144">
        <f t="shared" si="36"/>
        <v>50</v>
      </c>
      <c r="AI31" s="144">
        <f t="shared" si="36"/>
        <v>47</v>
      </c>
      <c r="AJ31" s="144">
        <f t="shared" si="36"/>
        <v>70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444</v>
      </c>
      <c r="AZ31" s="144">
        <f>SUBTOTAL(9,AZ9:AZ30)</f>
        <v>454</v>
      </c>
      <c r="BA31" s="144">
        <f>SUBTOTAL(9,BA9:BA30)</f>
        <v>495</v>
      </c>
      <c r="BB31" s="144">
        <f>SUBTOTAL(9,BB9:BB30)</f>
        <v>403</v>
      </c>
      <c r="BC31" s="145">
        <f>SUBTOTAL(9,BC9:BC30)</f>
        <v>127</v>
      </c>
      <c r="BD31" s="227">
        <f>IF(ISNUMBER(BA31/AZ31),BA31/AZ31," - ")</f>
        <v>1.0903083700440528</v>
      </c>
      <c r="BE31" s="224">
        <f>IF(ISNUMBER(BB31/BA31),BB31/BA31, " - ")</f>
        <v>0.81414141414141417</v>
      </c>
      <c r="BF31" s="224">
        <f>IF(ISNUMBER(BC31/BA31),BC31/BA31, " - ")</f>
        <v>0.25656565656565655</v>
      </c>
      <c r="BG31" s="145">
        <f>IF(ISNUMBER((AY31+AZ31)/BA31),(AY31+AZ31)/BA31," - ")</f>
        <v>1.8141414141414141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KngZvN+B73ak2AuM5m7y+3aRqJUl097fWp188HgUpOel9/QqFcTD5MUmCADbtiJu+Lwqdmx7kMlqYVFC7FHaA==" saltValue="gShQ/91QNKfm00Qf5VuU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lKeF/FGX0BbaniYurN+wXx9oLUH/JEKc9BKRdo1//oZhQhBcDn24sf9aFXdQj1f81xFqGTT1QmfFZ0REuHDKQ==" saltValue="sqXYHMvoz+rh9n7E7J+v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A ESTRADA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49</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778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1.1170568561872909</v>
      </c>
      <c r="BH12" s="764">
        <f>IF(ISNUMBER(((IF(J_V="SI",Datos!L12/Datos!K12,(Datos!L12+Datos!AB12)/(Datos!K12+Datos!AA12)))*11)/factor_trimestre),((IF(J_V="SI",Datos!L12/Datos!K12,(Datos!L12+Datos!AB12)/(Datos!K12+Datos!AA12)))*11)/factor_trimestre," - ")</f>
        <v>2.2185628742514973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2.5032938076416336E-2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49</v>
      </c>
      <c r="O14" s="1199">
        <f t="shared" si="1"/>
        <v>0</v>
      </c>
      <c r="P14" s="1199">
        <f t="shared" si="1"/>
        <v>0</v>
      </c>
      <c r="Q14" s="1198">
        <f t="shared" si="1"/>
        <v>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52</v>
      </c>
      <c r="AD14" s="1198">
        <f t="shared" si="2"/>
        <v>0</v>
      </c>
      <c r="AE14" s="1198">
        <f t="shared" si="2"/>
        <v>0</v>
      </c>
      <c r="AF14" s="1198">
        <f t="shared" si="2"/>
        <v>5</v>
      </c>
      <c r="AG14" s="1198">
        <f t="shared" si="2"/>
        <v>0</v>
      </c>
      <c r="AH14" s="1198">
        <f t="shared" si="2"/>
        <v>23</v>
      </c>
      <c r="AI14" s="1198">
        <f t="shared" si="2"/>
        <v>0</v>
      </c>
      <c r="AJ14" s="1198">
        <f t="shared" si="2"/>
        <v>0</v>
      </c>
      <c r="AK14" s="1198">
        <f t="shared" si="2"/>
        <v>0</v>
      </c>
      <c r="AL14" s="1198">
        <f t="shared" si="2"/>
        <v>0</v>
      </c>
      <c r="AM14" s="1198">
        <f t="shared" si="2"/>
        <v>782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v>
      </c>
      <c r="BD14" s="1198">
        <f t="shared" si="2"/>
        <v>91</v>
      </c>
      <c r="BE14" s="1198">
        <f t="shared" si="2"/>
        <v>0</v>
      </c>
      <c r="BF14" s="1198">
        <f t="shared" si="2"/>
        <v>0</v>
      </c>
      <c r="BG14" s="1198">
        <f>IF(ISNUMBER(Datos!K14/Datos!J14),Datos!K14/Datos!J14," - ")</f>
        <v>1.155378486055777</v>
      </c>
      <c r="BH14" s="1202">
        <f>IF(ISNUMBER(((Datos!L14/Datos!K14)*11)/factor_trimestre),((Datos!L14/Datos!K14)*11)/factor_trimestre," - ")</f>
        <v>2.3689655172413793</v>
      </c>
      <c r="BI14" s="1198">
        <f>IF(ISNUMBER('Resol  Asuntos'!D14/NºAsuntos!G14),'Resol  Asuntos'!D14/NºAsuntos!G14," - ")</f>
        <v>0.33731343283582088</v>
      </c>
      <c r="BJ14" s="1198" t="str">
        <f>IF(ISNUMBER(Datos!CI14/Datos!CJ14),Datos!CI14/Datos!CJ14," - ")</f>
        <v xml:space="preserve"> - </v>
      </c>
      <c r="BK14" s="1198">
        <f>SUBTOTAL(9,BK8:BK13)</f>
        <v>0</v>
      </c>
      <c r="BL14" s="1198">
        <f>IF(ISNUMBER((I14-AB14+L14)/(F14)),(I14-AB14+L14)/(F14)," - ")</f>
        <v>-0.2</v>
      </c>
      <c r="BM14" s="1203">
        <f>SUBTOTAL(9,BM9:BM13)</f>
        <v>0.35836627140974964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81</v>
      </c>
      <c r="G17" s="743">
        <f>IF(ISNUMBER(IF(D_I="SI",Datos!I17,Datos!I17+Datos!AC17)),IF(D_I="SI",Datos!I17,Datos!I17+Datos!AC17)," - ")</f>
        <v>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141</v>
      </c>
      <c r="AC17" s="240">
        <f>IF(ISNUMBER(Datos!Q17),Datos!Q17," - ")</f>
        <v>7</v>
      </c>
      <c r="AD17" s="374"/>
      <c r="AE17" s="562"/>
      <c r="AF17" s="741">
        <f>IF(ISNUMBER(IF(D_I="SI",Datos!L17,Datos!L17+Datos!AF17)),IF(D_I="SI",Datos!L17,Datos!L17+Datos!AF17)," - ")</f>
        <v>87</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0.95918367346938771</v>
      </c>
      <c r="BH17" s="764">
        <f>IF(ISNUMBER(((IF(D_I="SI",Datos!L17/Datos!K17,(Datos!L17+Datos!AF17)/(Datos!K17+Datos!AE17)))*11)/factor_trimestre),((IF(D_I="SI",Datos!L17/Datos!K17,(Datos!L17+Datos!AF17)/(Datos!K17+Datos!AE17)))*11)/factor_trimestre," - ")</f>
        <v>1.8510638297872342</v>
      </c>
      <c r="BI17" s="266">
        <f>IF(ISNUMBER('Resol  Asuntos'!D17/NºAsuntos!G17),'Resol  Asuntos'!D17/NºAsuntos!G17," - ")</f>
        <v>0.1702127659574468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3.8571428571428577</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81</v>
      </c>
      <c r="G23" s="1197">
        <f>SUBTOTAL(9,G16:G22)</f>
        <v>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148</v>
      </c>
      <c r="AC23" s="1198">
        <f t="shared" si="5"/>
        <v>7</v>
      </c>
      <c r="AD23" s="1198">
        <f t="shared" si="5"/>
        <v>0</v>
      </c>
      <c r="AE23" s="1198">
        <f t="shared" si="5"/>
        <v>0</v>
      </c>
      <c r="AF23" s="1198">
        <f t="shared" si="5"/>
        <v>96</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87</v>
      </c>
      <c r="BE23" s="1198">
        <f t="shared" si="5"/>
        <v>0</v>
      </c>
      <c r="BF23" s="1198">
        <f t="shared" si="5"/>
        <v>0</v>
      </c>
      <c r="BG23" s="1198">
        <f>IF(ISNUMBER(Datos!K23/Datos!J23),Datos!K23/Datos!J23," - ")</f>
        <v>0.96103896103896103</v>
      </c>
      <c r="BH23" s="1202">
        <f>IF(ISNUMBER(((Datos!L23/Datos!K23)*11)/factor_trimestre),((Datos!L23/Datos!K23)*11)/factor_trimestre," - ")</f>
        <v>1.9459459459459461</v>
      </c>
      <c r="BI23" s="1198">
        <f>SUBTOTAL(9,BI16:BI22)</f>
        <v>0.31306990881458963</v>
      </c>
      <c r="BJ23" s="1198">
        <f>SUBTOTAL(9,BJ16:BJ22)</f>
        <v>0</v>
      </c>
      <c r="BK23" s="1198">
        <f>SUBTOTAL(9,BK16:BK22)</f>
        <v>0</v>
      </c>
      <c r="BL23" s="1198">
        <f>IF(ISNUMBER((I23-AB23+L23)/(F23)),(I23-AB23+L23)/(F23)," - ")</f>
        <v>-1.8271604938271604</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86</v>
      </c>
      <c r="G31" s="1117">
        <f t="shared" si="18"/>
        <v>95</v>
      </c>
      <c r="H31" s="1119">
        <f t="shared" si="18"/>
        <v>0</v>
      </c>
      <c r="I31" s="1117">
        <f t="shared" si="18"/>
        <v>0</v>
      </c>
      <c r="J31" s="1119">
        <f t="shared" si="18"/>
        <v>0</v>
      </c>
      <c r="K31" s="1119">
        <f t="shared" si="18"/>
        <v>0</v>
      </c>
      <c r="L31" s="1180">
        <f t="shared" si="18"/>
        <v>0</v>
      </c>
      <c r="M31" s="1180">
        <f t="shared" si="18"/>
        <v>0</v>
      </c>
      <c r="N31" s="1180">
        <f t="shared" si="18"/>
        <v>49</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149</v>
      </c>
      <c r="AC31" s="1118">
        <f t="shared" si="19"/>
        <v>59</v>
      </c>
      <c r="AD31" s="1118">
        <f t="shared" si="19"/>
        <v>0</v>
      </c>
      <c r="AE31" s="1118">
        <f t="shared" si="19"/>
        <v>0</v>
      </c>
      <c r="AF31" s="1125">
        <f t="shared" si="19"/>
        <v>101</v>
      </c>
      <c r="AG31" s="1125">
        <f t="shared" si="19"/>
        <v>0</v>
      </c>
      <c r="AH31" s="1125">
        <f t="shared" si="19"/>
        <v>23</v>
      </c>
      <c r="AI31" s="1125">
        <f t="shared" si="19"/>
        <v>0</v>
      </c>
      <c r="AJ31" s="1118">
        <f t="shared" si="19"/>
        <v>0</v>
      </c>
      <c r="AK31" s="1125">
        <f t="shared" si="19"/>
        <v>0</v>
      </c>
      <c r="AL31" s="1125">
        <f t="shared" si="19"/>
        <v>0</v>
      </c>
      <c r="AM31" s="1125">
        <f t="shared" si="19"/>
        <v>796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138</v>
      </c>
      <c r="BD31" s="1117">
        <f t="shared" si="19"/>
        <v>178</v>
      </c>
      <c r="BE31" s="1117">
        <f t="shared" si="19"/>
        <v>0</v>
      </c>
      <c r="BF31" s="1127">
        <f t="shared" si="19"/>
        <v>0</v>
      </c>
      <c r="BG31" s="1223">
        <f>IF(ISNUMBER(Datos!K31/Datos!J31),Datos!K31/Datos!J31," - ")</f>
        <v>1.0814814814814815</v>
      </c>
      <c r="BH31" s="1223">
        <f>IF(ISNUMBER(((Datos!L31/Datos!K31)*11)/factor_trimestre),((Datos!L31/Datos!K31)*11)/factor_trimestre," - ")</f>
        <v>2.2260273972602742</v>
      </c>
      <c r="BI31" s="1103">
        <f>IF(ISNUMBER(Datos!J31/Datos!I31),Datos!J31/Datos!I31," - ")</f>
        <v>1.1218836565096952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-1.7325581395348837</v>
      </c>
      <c r="BM31" s="1188">
        <f>IF(ISNUMBER((Datos!P31-Datos!Q31+R31)/(Datos!R31-Datos!P31+Datos!Q31-R31)),(Datos!P31-Datos!Q31+R31)/(Datos!R31-Datos!P31+Datos!Q31-R31)," - ")</f>
        <v>2.0512820512820513E-2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40.598850558441512</v>
      </c>
      <c r="G33" s="674">
        <f>IF(ISNUMBER(STDEV(G8:G30)),STDEV(G8:G30),"-")</f>
        <v>40.072553247946701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69.701403962084683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49.271840697443871</v>
      </c>
      <c r="BD33" s="673"/>
      <c r="BE33" s="673">
        <f>IF(ISNUMBER(STDEV(BE8:BE30)),STDEV(BE8:BE30),"-")</f>
        <v>0</v>
      </c>
      <c r="BF33" s="678">
        <f>IF(ISNUMBER(STDEV(BF8:BF30)),STDEV(BF8:BF30),"-")</f>
        <v>0</v>
      </c>
      <c r="BG33" s="1052">
        <f>IF(ISNUMBER(STDEV(BG8:BG30)),STDEV(BG8:BG30),"-")</f>
        <v>8.3477582511901141E-2</v>
      </c>
      <c r="BH33" s="1058">
        <f>IF(ISNUMBER(STDEV(BH8:BH30)),STDEV(BH8:BH30),"-")</f>
        <v>5.1757095865888854</v>
      </c>
      <c r="BI33" s="273">
        <f>IF(ISNUMBER(STDEV(BI8:BI30)),STDEV(BI8:BI30),"-")</f>
        <v>9.8510790067143403E-2</v>
      </c>
      <c r="BJ33" s="244" t="str">
        <f>IF(ISNUMBER(BL33/BM33),BL33/BM33," - ")</f>
        <v xml:space="preserve"> - </v>
      </c>
      <c r="BK33" s="709"/>
      <c r="BL33" s="681">
        <f>IF(ISNUMBER(STDEV(BL8:BL30)),STDEV(BL8:BL30),"-")</f>
        <v>1.1505762192640365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UCLQF6e2Btm852c/qIqlGKOq2CQwwDesPWW9q3woxhjPQqXgzItW34vfx63XK+4MaqipjAfEeSVzpcnr4oxYw==" saltValue="7VvjBbgZmM6e4VFSfAZa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A ESTRADA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v>
      </c>
      <c r="AA12" s="551" t="str">
        <f>IF(ISNUMBER(IF(J_V="SI",Datos!L12,Datos!L12+Datos!AB12)-IF(Monitorios="SI",Datos!CD12,0)),
                          IF(J_V="SI",Datos!L12,Datos!L12+Datos!AB12)-IF(Monitorios="SI",Datos!CD12,0),
                          " - ")</f>
        <v xml:space="preserve"> - </v>
      </c>
      <c r="AB12" s="549"/>
      <c r="AC12" s="549"/>
      <c r="AD12" s="563"/>
      <c r="AE12" s="563">
        <f>IF(ISNUMBER(Datos!R12),Datos!R12," - ")</f>
        <v>778</v>
      </c>
      <c r="AF12" s="693" t="str">
        <f>IF(ISNUMBER(Datos!BV12),Datos!BV12," - ")</f>
        <v xml:space="preserve"> - </v>
      </c>
      <c r="AG12" s="552" t="str">
        <f>IF(ISNUMBER(Datos!DV12),Datos!DV12," - ")</f>
        <v xml:space="preserve"> - </v>
      </c>
      <c r="AH12" s="553"/>
      <c r="AI12" s="554"/>
      <c r="AJ12" s="552">
        <f>IF(ISNUMBER(Datos!M12),Datos!M12," - ")</f>
        <v>112</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2.2185628742514973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2.5032938076416336E-2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52</v>
      </c>
      <c r="AA14" s="1199">
        <f t="shared" si="3"/>
        <v>5</v>
      </c>
      <c r="AB14" s="1199">
        <f t="shared" si="3"/>
        <v>0</v>
      </c>
      <c r="AC14" s="1199">
        <f t="shared" si="3"/>
        <v>0</v>
      </c>
      <c r="AD14" s="1199">
        <f t="shared" si="3"/>
        <v>0</v>
      </c>
      <c r="AE14" s="1199">
        <f t="shared" si="3"/>
        <v>782</v>
      </c>
      <c r="AF14" s="1211">
        <f t="shared" si="3"/>
        <v>0</v>
      </c>
      <c r="AG14" s="1211">
        <f t="shared" si="3"/>
        <v>0</v>
      </c>
      <c r="AH14" s="1211">
        <f t="shared" si="3"/>
        <v>0</v>
      </c>
      <c r="AI14" s="1211">
        <f t="shared" si="3"/>
        <v>0</v>
      </c>
      <c r="AJ14" s="1211">
        <f t="shared" si="3"/>
        <v>113</v>
      </c>
      <c r="AK14" s="1211">
        <f t="shared" si="3"/>
        <v>91</v>
      </c>
      <c r="AL14" s="1211">
        <f t="shared" si="3"/>
        <v>0</v>
      </c>
      <c r="AM14" s="1211">
        <f t="shared" si="3"/>
        <v>0</v>
      </c>
      <c r="AN14" s="1211">
        <f t="shared" si="3"/>
        <v>0</v>
      </c>
      <c r="AO14" s="1203">
        <f>IF(ISNUMBER(((NºAsuntos!I14/NºAsuntos!G14)*11)/factor_trimestre),((NºAsuntos!I14/NºAsuntos!G14)*11)/factor_trimestre," - ")</f>
        <v>2.256716417910448</v>
      </c>
      <c r="AP14" s="1213" t="str">
        <f>IF(ISNUMBER(Datos!CI14/Datos!CJ14),Datos!CI14/Datos!CJ14," - ")</f>
        <v xml:space="preserve"> - </v>
      </c>
      <c r="AQ14" s="1236">
        <f t="shared" ref="AQ14:AV14" si="4">SUBTOTAL(9,AQ9:AQ13)</f>
        <v>0</v>
      </c>
      <c r="AR14" s="1236">
        <f t="shared" si="4"/>
        <v>0.35836627140974964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81</v>
      </c>
      <c r="G17" s="552">
        <f>IF(ISNUMBER(IF(D_I="SI",Datos!I17,Datos!I17+Datos!AC17)),IF(D_I="SI",Datos!I17,Datos!I17+Datos!AC17)," - ")</f>
        <v>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141</v>
      </c>
      <c r="Z17" s="805">
        <f>IF(ISNUMBER(Datos!Q17),Datos!Q17," - ")</f>
        <v>7</v>
      </c>
      <c r="AA17" s="551">
        <f>IF(ISNUMBER(IF(D_I="SI",Datos!L17,Datos!L17+Datos!AF17)),IF(D_I="SI",Datos!L17,Datos!L17+Datos!AF17)," - ")</f>
        <v>87</v>
      </c>
      <c r="AB17" s="549"/>
      <c r="AC17" s="549"/>
      <c r="AD17" s="563"/>
      <c r="AE17" s="563">
        <f>IF(ISNUMBER(Datos!R17),Datos!R17," - ")</f>
        <v>14</v>
      </c>
      <c r="AF17" s="693" t="str">
        <f>IF(ISNUMBER(Datos!BV17),Datos!BV17," - ")</f>
        <v xml:space="preserve"> - </v>
      </c>
      <c r="AG17" s="552"/>
      <c r="AH17" s="553"/>
      <c r="AI17" s="554"/>
      <c r="AJ17" s="552">
        <f>IF(ISNUMBER(Datos!M17),Datos!M17," - ")</f>
        <v>24</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1.8510638297872342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3.8571428571428577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81</v>
      </c>
      <c r="G23" s="1197">
        <f>SUBTOTAL(9,G16:G22)</f>
        <v>90</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148</v>
      </c>
      <c r="Z23" s="1240">
        <f t="shared" si="6"/>
        <v>7</v>
      </c>
      <c r="AA23" s="1240">
        <f t="shared" si="6"/>
        <v>96</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25</v>
      </c>
      <c r="AK23" s="1240">
        <f t="shared" si="6"/>
        <v>87</v>
      </c>
      <c r="AL23" s="1240">
        <f t="shared" si="6"/>
        <v>0</v>
      </c>
      <c r="AM23" s="1240">
        <f t="shared" si="6"/>
        <v>0</v>
      </c>
      <c r="AN23" s="1240">
        <f t="shared" si="6"/>
        <v>0</v>
      </c>
      <c r="AO23" s="1242">
        <f>IF(ISNUMBER(((NºAsuntos!I23/NºAsuntos!G23)*11)/factor_trimestre),((NºAsuntos!I23/NºAsuntos!G23)*11)/factor_trimestre," - ")</f>
        <v>1.9459459459459461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86</v>
      </c>
      <c r="G31" s="1117">
        <f t="shared" si="12"/>
        <v>95</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149</v>
      </c>
      <c r="Z31" s="1124">
        <f t="shared" si="13"/>
        <v>59</v>
      </c>
      <c r="AA31" s="1125">
        <f t="shared" si="13"/>
        <v>101</v>
      </c>
      <c r="AB31" s="1125">
        <f t="shared" si="13"/>
        <v>0</v>
      </c>
      <c r="AC31" s="1125">
        <f t="shared" si="13"/>
        <v>0</v>
      </c>
      <c r="AD31" s="1126">
        <f t="shared" si="13"/>
        <v>0</v>
      </c>
      <c r="AE31" s="1126">
        <f t="shared" si="13"/>
        <v>796</v>
      </c>
      <c r="AF31" s="1127">
        <f t="shared" si="13"/>
        <v>0</v>
      </c>
      <c r="AG31" s="1128">
        <f t="shared" si="13"/>
        <v>0</v>
      </c>
      <c r="AH31" s="1129">
        <f t="shared" si="13"/>
        <v>0</v>
      </c>
      <c r="AI31" s="1127">
        <f t="shared" si="13"/>
        <v>0</v>
      </c>
      <c r="AJ31" s="1117">
        <f t="shared" si="13"/>
        <v>138</v>
      </c>
      <c r="AK31" s="1117">
        <f t="shared" si="13"/>
        <v>178</v>
      </c>
      <c r="AL31" s="1117">
        <f t="shared" si="13"/>
        <v>0</v>
      </c>
      <c r="AM31" s="1130">
        <f t="shared" si="13"/>
        <v>0</v>
      </c>
      <c r="AN31" s="1120">
        <f>IF(ISNUMBER(Datos!K31/Datos!J31),Datos!K31/Datos!J31," - ")</f>
        <v>1.0814814814814815</v>
      </c>
      <c r="AO31" s="1120">
        <f>IF(ISNUMBER(FIND("06",Criterios!A8,1)),(IF(ISNUMBER(((Datos!R31/Datos!Q31)*11)/factor_trimestre),((Datos!R31/Datos!Q31)*11)/factor_trimestre," - ")),(IF(ISNUMBER(((Datos!L31/Datos!K31)*11)/factor_trimestre),((Datos!L31/Datos!K31)*11)/factor_trimestre," - ")))</f>
        <v>2.2260273972602742</v>
      </c>
      <c r="AP31" s="1131" t="str">
        <f>IF(ISNUMBER(Datos!CI31/Datos!CJ31),Datos!CI31/Datos!CJ31," - ")</f>
        <v xml:space="preserve"> - </v>
      </c>
      <c r="AQ31" s="1131">
        <f>IF(OR(ISNUMBER(FIND("01",Criterios!A8,1)),ISNUMBER(FIND("02",Criterios!A8,1)),ISNUMBER(FIND("03",Criterios!A8,1)),ISNUMBER(FIND("04",Criterios!A8,1))),(J31-Y31+K31)/(F31-K31),(I31-Y31+K31)/(F31-K31))</f>
        <v>-1.7325581395348837</v>
      </c>
      <c r="AR31" s="1131">
        <f>IF(ISNUMBER((Datos!P31-Datos!Q31+O31)/(Datos!R31-Datos!P31+Datos!Q31-O31)),(Datos!P31-Datos!Q31+O31)/(Datos!R31-Datos!P31+Datos!Q31-O31)," - ")</f>
        <v>2.0512820512820513E-2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40.598850558441512</v>
      </c>
      <c r="G33" s="674">
        <f>IF(ISNUMBER(STDEV(G8:G30)),STDEV(G8:G30),"-")</f>
        <v>40.072553247946701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49.271840697443871</v>
      </c>
      <c r="AK33" s="276"/>
      <c r="AL33" s="276">
        <f>IF(ISNUMBER(STDEV(AL8:AL30)),STDEV(AL8:AL30),"-")</f>
        <v>0</v>
      </c>
      <c r="AM33" s="278">
        <f>IF(ISNUMBER(STDEV(AM8:AM30)),STDEV(AM8:AM30),"-")</f>
        <v>0</v>
      </c>
      <c r="AN33" s="660">
        <f>IF(ISNUMBER(STDEV(AN8:AN30)),STDEV(AN8:AN30),"-")</f>
        <v>0</v>
      </c>
      <c r="AO33" s="661">
        <f>IF(ISNUMBER(STDEV(AO8:AO30)),STDEV(AO8:AO30),"-")</f>
        <v>5.1853216821246528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NOTBy9KIOeCHbLJAjVao33fbhrrNFb6hUwlipiYwN/sMxoSoj0kxsRvXbHrnz62VblPbOhF52YDyLEDXMwvA==" saltValue="jyCPj2IKdKfankHdnW5o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eUwu/h//tEajgdUgZuC0/AuiccobqF0vYQdTERv44wuU2lsP1MbfSKsjZDT7mjliSX3+obBnPT58cajqpH2eA==" saltValue="cEHOfvWKeK8z4Vkzkp5k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2PPFdxvGUzBGIC+LyBfOp/tESyaG5NT16Yp0ZtTMRmOE1m4pQgO6Gy9NcI5ZCvnjgmFAcTS8WZQtbjqQULKw==" saltValue="bSsyxxhZ+rh5wuJaMQsl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A ESTRADA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0.33731343283582088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0.23851661574352198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OCLBC3WMVR5Gahv/atb7T8CbSasw9RapB11dRVTQJpgqxjAoX0sc8ISEXNIt99/aQjh4iHYCYAvaIXGP6HTfw==" saltValue="Q6eOIzHkf/tERbnCqFPf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Y+wOrT7g7fDQ9bA+fDQVzIlYPfjEViOCDkTKL1Naq+hfJptaV02C2MIcJtJWl05lzXIA38x/v9BtpCKdcoG9A==" saltValue="ppyGJL2kVPC2VRHdO2Zw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A ESTRADA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285</v>
      </c>
      <c r="D12" s="452">
        <f>IF(ISNUMBER(C12/Datos!BH12),C12/Datos!BH12," - ")</f>
        <v>142.5</v>
      </c>
      <c r="E12" s="451">
        <f>IF(ISNUMBER(IF(J_V="SI",Datos!J12,Datos!J12+Datos!Z12)),IF(J_V="SI",Datos!J12,Datos!J12+Datos!Z12)," - ")</f>
        <v>299</v>
      </c>
      <c r="F12" s="452">
        <f>IF(ISNUMBER(E12/B12),E12/B12," - ")</f>
        <v>149.5</v>
      </c>
      <c r="G12" s="451">
        <f>IF(ISNUMBER(IF(J_V="SI",Datos!K12,Datos!K12+Datos!AA12)),IF(J_V="SI",Datos!K12,Datos!K12+Datos!AA12)," - ")</f>
        <v>334</v>
      </c>
      <c r="H12" s="452">
        <f>IF(ISNUMBER(G12/B12),G12/B12," - ")</f>
        <v>167</v>
      </c>
      <c r="I12" s="451">
        <f>IF(ISNUMBER(IF(J_V="SI",Datos!L12,Datos!L12+Datos!AB12)),IF(J_V="SI",Datos!L12,Datos!L12+Datos!AB12)," - ")</f>
        <v>247</v>
      </c>
      <c r="J12" s="452">
        <f>IF(ISNUMBER(I12/B12),I12/B12," - ")</f>
        <v>123.5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290</v>
      </c>
      <c r="D14" s="1147" t="str">
        <f>IF(ISNUMBER(C14/Datos!BI14),C14/Datos!BI14," - ")</f>
        <v xml:space="preserve"> - </v>
      </c>
      <c r="E14" s="1146">
        <f>SUBTOTAL(9,E8:E13)</f>
        <v>300</v>
      </c>
      <c r="F14" s="1147">
        <f>IF(ISNUMBER(E14/B14),E14/B14," - ")</f>
        <v>150</v>
      </c>
      <c r="G14" s="1146">
        <f>SUBTOTAL(9,G8:G13)</f>
        <v>335</v>
      </c>
      <c r="H14" s="1147">
        <f>IF(ISNUMBER(G14/B14),G14/B14," - ")</f>
        <v>167.5</v>
      </c>
      <c r="I14" s="1146">
        <f>SUBTOTAL(9,I8:I13)</f>
        <v>252</v>
      </c>
      <c r="J14" s="1147">
        <f>IF(ISNUMBER(I14/B14),I14/B14," - ")</f>
        <v>126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81</v>
      </c>
      <c r="D17" s="452">
        <f>IF(ISNUMBER(C17/Datos!BH17),C17/Datos!BH17," - ")</f>
        <v>40.5</v>
      </c>
      <c r="E17" s="451">
        <f>IF(ISNUMBER(IF(D_I="SI",Datos!J17,Datos!J17+Datos!AD17)),IF(D_I="SI",Datos!J17,Datos!J17+Datos!AD17)," - ")</f>
        <v>147</v>
      </c>
      <c r="F17" s="452">
        <f>IF(ISNUMBER(E17/B17),E17/B17," - ")</f>
        <v>73.5</v>
      </c>
      <c r="G17" s="451">
        <f>IF(ISNUMBER(IF(D_I="SI",Datos!K17,Datos!K17+Datos!AE17)),IF(D_I="SI",Datos!K17,Datos!K17+Datos!AE17)," - ")</f>
        <v>141</v>
      </c>
      <c r="H17" s="452">
        <f>IF(ISNUMBER(G17/B17),G17/B17," - ")</f>
        <v>70.5</v>
      </c>
      <c r="I17" s="451">
        <f>IF(ISNUMBER(IF(D_I="SI",Datos!L17,Datos!L17+Datos!AF17)),IF(D_I="SI",Datos!L17,Datos!L17+Datos!AF17)," - ")</f>
        <v>87</v>
      </c>
      <c r="J17" s="452">
        <f>IF(ISNUMBER(I17/B17),I17/B17," - ")</f>
        <v>43.5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7</v>
      </c>
      <c r="F18" s="452">
        <f>IF(ISNUMBER(E18/B18),E18/B18," - ")</f>
        <v>7</v>
      </c>
      <c r="G18" s="451">
        <f>IF(ISNUMBER(IF(D_I="SI",Datos!K18,Datos!K18+Datos!AE18)),IF(D_I="SI",Datos!K18,Datos!K18+Datos!AE18)," - ")</f>
        <v>7</v>
      </c>
      <c r="H18" s="452">
        <f>IF(ISNUMBER(G18/B18),G18/B18," - ")</f>
        <v>7</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90</v>
      </c>
      <c r="D23" s="1147" t="str">
        <f>IF(ISNUMBER(C23/Datos!BI23),C23/Datos!BI23," - ")</f>
        <v xml:space="preserve"> - </v>
      </c>
      <c r="E23" s="1146">
        <f>SUBTOTAL(9,E15:E22)</f>
        <v>154</v>
      </c>
      <c r="F23" s="1147">
        <f>IF(ISNUMBER(E23/B23),E23/B23," - ")</f>
        <v>77</v>
      </c>
      <c r="G23" s="1146">
        <f>SUBTOTAL(9,G15:G22)</f>
        <v>148</v>
      </c>
      <c r="H23" s="1147">
        <f>IF(ISNUMBER(G23/B23),G23/B23," - ")</f>
        <v>74</v>
      </c>
      <c r="I23" s="1146">
        <f>SUBTOTAL(9,I15:I22)</f>
        <v>96</v>
      </c>
      <c r="J23" s="1147">
        <f>IF(ISNUMBER(I23/B23),I23/B23," - ")</f>
        <v>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380</v>
      </c>
      <c r="D31" s="1085" t="str">
        <f>IF(ISNUMBER(C31/Datos!BI31),C31/Datos!BI31," - ")</f>
        <v xml:space="preserve"> - </v>
      </c>
      <c r="E31" s="1084">
        <f>SUBTOTAL(9,E9:E30)</f>
        <v>454</v>
      </c>
      <c r="F31" s="1085">
        <f>IF(ISNUMBER(E31/B31),E31/B31," - ")</f>
        <v>227</v>
      </c>
      <c r="G31" s="1084">
        <f>SUBTOTAL(9,G9:G30)</f>
        <v>483</v>
      </c>
      <c r="H31" s="1085">
        <f>IF(ISNUMBER(G31/B31),G31/B31," - ")</f>
        <v>241.5</v>
      </c>
      <c r="I31" s="1084">
        <f>SUBTOTAL(9,I9:I30)</f>
        <v>348</v>
      </c>
      <c r="J31" s="1085">
        <f>IF(ISNUMBER(I31/B31),I31/B31," - ")</f>
        <v>174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1U2ZQuVNxqjp3CyFAAS5eYwP23WD2T+pyRk0hp7V9C9HJjwkvEjPHqKlfNlc2Mgg+MP4aZFV5b+p3jZwjk5FA==" saltValue="PynCcghQ0BlbUIsKHGdz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A ESTRADA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2.2185628742514973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2.5032938076416336E-2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52</v>
      </c>
      <c r="AE14" s="1257">
        <f t="shared" si="1"/>
        <v>0</v>
      </c>
      <c r="AF14" s="1257">
        <f t="shared" si="1"/>
        <v>5</v>
      </c>
      <c r="AG14" s="1257">
        <f t="shared" si="1"/>
        <v>0</v>
      </c>
      <c r="AH14" s="1257">
        <f t="shared" si="1"/>
        <v>778</v>
      </c>
      <c r="AI14" s="1257">
        <f t="shared" si="1"/>
        <v>0</v>
      </c>
      <c r="AJ14" s="1257">
        <f t="shared" si="1"/>
        <v>0</v>
      </c>
      <c r="AK14" s="1257">
        <f t="shared" si="1"/>
        <v>0</v>
      </c>
      <c r="AL14" s="1257">
        <f t="shared" si="1"/>
        <v>113</v>
      </c>
      <c r="AM14" s="1257">
        <f t="shared" si="1"/>
        <v>91</v>
      </c>
      <c r="AN14" s="1257">
        <f t="shared" si="1"/>
        <v>0</v>
      </c>
      <c r="AO14" s="1257">
        <f t="shared" si="1"/>
        <v>0</v>
      </c>
      <c r="AP14" s="1262">
        <f>IF(ISNUMBER(((Datos!L14/Datos!K14)*11)/factor_trimestre),((Datos!L14/Datos!K14)*11)/factor_trimestre," - ")</f>
        <v>2.3689655172413793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2.5032938076416336E-2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1.9459459459459461</v>
      </c>
      <c r="AQ23" s="1262">
        <f>IF(ISNUMBER(((Datos!M23/Datos!L23)*11)/factor_trimestre),((Datos!M23/Datos!L23)*11)/factor_trimestre," - ")</f>
        <v>0.78125000000000011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-5.46875E-2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52</v>
      </c>
      <c r="AE31" s="1284">
        <f t="shared" si="9"/>
        <v>0</v>
      </c>
      <c r="AF31" s="1285">
        <f t="shared" si="9"/>
        <v>5</v>
      </c>
      <c r="AG31" s="1285">
        <f t="shared" si="9"/>
        <v>0</v>
      </c>
      <c r="AH31" s="1285">
        <f t="shared" si="9"/>
        <v>778</v>
      </c>
      <c r="AI31" s="1285">
        <f t="shared" si="9"/>
        <v>0</v>
      </c>
      <c r="AJ31" s="1286">
        <f t="shared" si="9"/>
        <v>0</v>
      </c>
      <c r="AK31" s="1286">
        <f t="shared" si="9"/>
        <v>0</v>
      </c>
      <c r="AL31" s="1278">
        <f t="shared" si="9"/>
        <v>113</v>
      </c>
      <c r="AM31" s="1278">
        <f t="shared" si="9"/>
        <v>91</v>
      </c>
      <c r="AN31" s="1278">
        <f t="shared" si="9"/>
        <v>0</v>
      </c>
      <c r="AO31" s="1278">
        <f t="shared" si="9"/>
        <v>0</v>
      </c>
      <c r="AP31" s="1278">
        <f>IF(ISNUMBER(((Datos!L31/Datos!K31)*11)/factor_trimestre),((Datos!L31/Datos!K31)*11)/factor_trimestre," - ")</f>
        <v>2.2260273972602742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2.0512820512820513E-2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57.967807157651457</v>
      </c>
      <c r="AM33" s="1006"/>
      <c r="AN33" s="1006">
        <f>IF(ISNUMBER(STDEV(AN8:AN30)),STDEV(AN8:AN30),"-")</f>
        <v>0</v>
      </c>
      <c r="AO33" s="1012">
        <f>IF(ISNUMBER(STDEV(AO8:AO30)),STDEV(AO8:AO30),"-")</f>
        <v>0</v>
      </c>
      <c r="AP33" s="1065">
        <f>IF(ISNUMBER(STDEV(AP8:AP30)),STDEV(AP8:AP30),"-")</f>
        <v>6.413477871200751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06uuMwSa1EiAOsq0hvSsO60cUBQZVPSBAexWRR95D9YQXw3uh4gF6hy1vZGLLDBkf5Kb9N2eIo7vL/aLAVCeA==" saltValue="Vi8mYUERYd2YA3Ek6Oda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A ESTRADA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ddMfYBqoNpSJRUNjFkDZuCJV3VH5aNtx954TBKoHTnQXRx0NUAWApk0JRAGvUK7WjXZbiZqFRK00l8xWJjXPw==" saltValue="V4wdmUbZapTqBMu4vgQr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A ESTRADA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112</v>
      </c>
      <c r="E12" s="452">
        <f t="shared" si="0"/>
        <v>56</v>
      </c>
      <c r="F12" s="451">
        <f>IF(ISNUMBER(Datos!N12),Datos!N12," - ")</f>
        <v>91</v>
      </c>
      <c r="G12" s="452">
        <f t="shared" si="1"/>
        <v>45.5</v>
      </c>
      <c r="H12" s="451">
        <f>IF(ISNUMBER(Datos!O12),Datos!O12," - ")</f>
        <v>112</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113</v>
      </c>
      <c r="E14" s="1147">
        <f t="shared" si="0"/>
        <v>37.666666666666664</v>
      </c>
      <c r="F14" s="1146">
        <f>SUBTOTAL(9,F9:F13)</f>
        <v>91</v>
      </c>
      <c r="G14" s="1147">
        <f t="shared" si="1"/>
        <v>30.333333333333332</v>
      </c>
      <c r="H14" s="1146">
        <f>SUBTOTAL(9,H9:H13)</f>
        <v>112</v>
      </c>
      <c r="I14" s="1147">
        <f>IF(ISNUMBER(H14/B14),H14/B14," - ")</f>
        <v>37.333333333333336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v>
      </c>
      <c r="E17" s="452">
        <f t="shared" si="3"/>
        <v>12</v>
      </c>
      <c r="F17" s="451">
        <f>IF(ISNUMBER(Datos!N17),Datos!N17," - ")</f>
        <v>83</v>
      </c>
      <c r="G17" s="452">
        <f t="shared" si="4"/>
        <v>41.5</v>
      </c>
      <c r="H17" s="451">
        <f>IF(ISNUMBER(Datos!O17),Datos!O17," - ")</f>
        <v>4</v>
      </c>
      <c r="I17" s="452">
        <f t="shared" si="5"/>
        <v>2</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v>
      </c>
      <c r="E23" s="1147">
        <f t="shared" si="3"/>
        <v>8.3333333333333339</v>
      </c>
      <c r="F23" s="1146">
        <f>SUBTOTAL(9,F16:F22)</f>
        <v>87</v>
      </c>
      <c r="G23" s="1147">
        <f t="shared" si="4"/>
        <v>29</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138</v>
      </c>
      <c r="E31" s="1085">
        <f>IF(ISNUMBER(D31/B31),D31/B31," - ")</f>
        <v>69</v>
      </c>
      <c r="F31" s="1084">
        <f>SUBTOTAL(9,F8:F30)</f>
        <v>178</v>
      </c>
      <c r="G31" s="1085">
        <f>IF(ISNUMBER(F31/B31),F31/B31," - ")</f>
        <v>89</v>
      </c>
      <c r="H31" s="1084">
        <f>SUBTOTAL(9,H8:H30)</f>
        <v>116</v>
      </c>
      <c r="I31" s="1085">
        <f>IF(ISNUMBER(H31/B31),H31/B31," - ")</f>
        <v>58</v>
      </c>
    </row>
    <row r="34" spans="1:1">
      <c r="A34" s="439" t="str">
        <f>Criterios!A4</f>
        <v>Fecha Informe: 06 may. 2023</v>
      </c>
    </row>
    <row r="39" spans="1:1">
      <c r="A39" s="462"/>
    </row>
  </sheetData>
  <sheetProtection algorithmName="SHA-512" hashValue="VphB/GuER5g+otyTa0QV2L8er7u1xtDKSSybZZLgPydcQDvQjw+FWs0OdMxFM/Gc2OusO9Ter/ujulwiMD3mEA==" saltValue="rFG91CPx0CiA78IeBOTz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A ESTRADA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52</v>
      </c>
      <c r="D12" s="456">
        <f>IF(ISNUMBER(Datos!R12),Datos!R12," - ")</f>
        <v>778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v>
      </c>
      <c r="C14" s="1150">
        <f>SUBTOTAL(9,C9:C13)</f>
        <v>52</v>
      </c>
      <c r="D14" s="1148">
        <f>SUBTOTAL(9,D9:D13)</f>
        <v>782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7</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7</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59</v>
      </c>
      <c r="D31" s="1090">
        <f>SUBTOTAL(9,D8:D30)</f>
        <v>796</v>
      </c>
    </row>
    <row r="32" spans="1:4" ht="7.5" customHeight="1"/>
    <row r="33" spans="1:1" ht="6" customHeight="1"/>
    <row r="34" spans="1:1">
      <c r="A34" s="439" t="str">
        <f>Criterios!A4</f>
        <v>Fecha Informe: 06 may. 2023</v>
      </c>
    </row>
    <row r="39" spans="1:1">
      <c r="A39" s="462"/>
    </row>
  </sheetData>
  <sheetProtection algorithmName="SHA-512" hashValue="ToB+b/NmnKgqWCCC9tHGFfZ63rmecuK5wMtRwApUhoNGqmRMO0I1Fm5Khrt5dSwqJYvXPwxHHh1A3j8K6BGZaA==" saltValue="GmnX8xgNK6QAPkpXOwIQ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A ESTRADA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0</v>
      </c>
      <c r="E10" s="515">
        <f>IF(ISNUMBER((Datos!L10-Datos!V10)/Datos!V10),(Datos!L10-Datos!V10)/Datos!V10," - ")</f>
        <v>0.25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0.25</v>
      </c>
      <c r="J10" s="521">
        <f>IF(ISNUMBER((('Resol  Asuntos'!D10/NºAsuntos!G10)-Datos!BF10)/Datos!BF10),(('Resol  Asuntos'!D10/NºAsuntos!G10)-Datos!BF10)/Datos!BF10," - ")</f>
        <v>0</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-0.10658307210031348</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4.7021943573667714E-2</v>
      </c>
      <c r="E12" s="515">
        <f>IF(ISNUMBER(
   IF(J_V="SI",(Datos!L12-Datos!V12)/Datos!V12,(Datos!L12+Datos!AB12-(Datos!V12+Datos!AJ12))/(Datos!V12+Datos!AJ12))
     ),IF(J_V="SI",(Datos!L12-Datos!V12)/Datos!V12,(Datos!L12+Datos!AB12-(Datos!V12+Datos!AJ12))/(Datos!V12+Datos!AJ12))," - ")</f>
        <v>-0.17391304347826086</v>
      </c>
      <c r="F12" s="515">
        <f>IF(ISNUMBER((Datos!M12-Datos!W12)/Datos!W12),(Datos!M12-Datos!W12)/Datos!W12," - ")</f>
        <v>0.20430107526881722</v>
      </c>
      <c r="G12" s="516">
        <f>IF(ISNUMBER((Datos!N12-Datos!X12)/Datos!X12),(Datos!N12-Datos!X12)/Datos!X12," - ")</f>
        <v>-0.09</v>
      </c>
      <c r="H12" s="514">
        <f>IF(ISNUMBER(((NºAsuntos!G12/NºAsuntos!E12)-Datos!BD12)/Datos!BD12),((NºAsuntos!G12/NºAsuntos!E12)-Datos!BD12)/Datos!BD12," - ")</f>
        <v>4.7021943573667679E-2</v>
      </c>
      <c r="I12" s="515">
        <f>IF(ISNUMBER(((NºAsuntos!I12/NºAsuntos!G12)-Datos!BE12)/Datos!BE12),((NºAsuntos!I12/NºAsuntos!G12)-Datos!BE12)/Datos!BE12," - ")</f>
        <v>-0.21101275709450665</v>
      </c>
      <c r="J12" s="521">
        <f>IF(ISNUMBER((('Resol  Asuntos'!D12/NºAsuntos!G12)-Datos!BF12)/Datos!BF12),(('Resol  Asuntos'!D12/NºAsuntos!G12)-Datos!BF12)/Datos!BF12," - ")</f>
        <v>6.9700598802395056E-2</v>
      </c>
      <c r="K12" s="522">
        <f>IF(ISNUMBER((((NºAsuntos!C12+NºAsuntos!E12)/NºAsuntos!G12)-Datos!BG12)/Datos!BG12),(((NºAsuntos!C12+NºAsuntos!E12)/NºAsuntos!G12)-Datos!BG12)/Datos!BG12," - ")</f>
        <v>-9.7455574288316513E-2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-0.1021671826625387</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4.6875E-2</v>
      </c>
      <c r="E14" s="1152">
        <f>IF(ISNUMBER(
   IF(J_V="SI",(Datos!L14-Datos!V14)/Datos!V14,(Datos!L14+Datos!AB14-(Datos!V14+Datos!AJ14))/(Datos!V14+Datos!AJ14))
     ),IF(J_V="SI",(Datos!L14-Datos!V14)/Datos!V14,(Datos!L14+Datos!AB14-(Datos!V14+Datos!AJ14))/(Datos!V14+Datos!AJ14))," - ")</f>
        <v>-0.16831683168316833</v>
      </c>
      <c r="F14" s="1153">
        <f>IF(ISNUMBER((Datos!M14-Datos!W14)/Datos!W14),(Datos!M14-Datos!W14)/Datos!W14," - ")</f>
        <v>0.20212765957446807</v>
      </c>
      <c r="G14" s="1154">
        <f>IF(ISNUMBER((Datos!N14-Datos!X14)/Datos!X14),(Datos!N14-Datos!X14)/Datos!X14," - ")</f>
        <v>-0.09</v>
      </c>
      <c r="H14" s="1154">
        <f>IF(ISNUMBER(((NºAsuntos!G14/NºAsuntos!E14)-Datos!BD14)/Datos!BD14),((NºAsuntos!G14/NºAsuntos!E14)-Datos!BD14)/Datos!BD14," - ")</f>
        <v>4.6875000000000042E-2</v>
      </c>
      <c r="I14" s="1154">
        <f>IF(ISNUMBER(((NºAsuntos!I14/NºAsuntos!G14)-Datos!BE14)/Datos!BE14),((NºAsuntos!I14/NºAsuntos!G14)-Datos!BE14)/Datos!BE14," - ")</f>
        <v>-0.20555637653317574</v>
      </c>
      <c r="J14" s="1154">
        <f>IF(ISNUMBER((('Resol  Asuntos'!D14/NºAsuntos!G14)-Datos!BF14)/Datos!BF14),(('Resol  Asuntos'!D14/NºAsuntos!G14)-Datos!BF14)/Datos!BF14," - ")</f>
        <v>6.8715826806561242E-2</v>
      </c>
      <c r="K14" s="1154">
        <f>IF(ISNUMBER((((NºAsuntos!C14+NºAsuntos!E14)/NºAsuntos!G14)-Datos!BG14)/Datos!BG14),(((NºAsuntos!C14+NºAsuntos!E14)/NºAsuntos!G14)-Datos!BG14)/Datos!BG14," - ")</f>
        <v>-9.5373853046165608E-2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-0.2767857142857143</v>
      </c>
      <c r="C17" s="515">
        <f>IF(ISNUMBER(
   IF(D_I="SI",(Datos!J17-Datos!T17)/Datos!T17,(Datos!J17+Datos!AD17-(Datos!T17+Datos!AL17))/(Datos!T17+Datos!AL17))
     ),IF(D_I="SI",(Datos!J17-Datos!T17)/Datos!T17,(Datos!J17+Datos!AD17-(Datos!T17+Datos!AL17))/(Datos!T17+Datos!AL17))," - ")</f>
        <v>-1.3422818791946308E-2</v>
      </c>
      <c r="D17" s="515">
        <f>IF(ISNUMBER(
   IF(D_I="SI",(Datos!K17-Datos!U17)/Datos!U17,(Datos!K17+Datos!AE17-(Datos!U17+Datos!AM17))/(Datos!U17+Datos!AM17))
     ),IF(D_I="SI",(Datos!K17-Datos!U17)/Datos!U17,(Datos!K17+Datos!AE17-(Datos!U17+Datos!AM17))/(Datos!U17+Datos!AM17))," - ")</f>
        <v>-0.16071428571428573</v>
      </c>
      <c r="E17" s="515">
        <f>IF(ISNUMBER(
   IF(D_I="SI",(Datos!L17-Datos!V17)/Datos!V17,(Datos!L17+Datos!AF17-(Datos!V17+Datos!AN17))/(Datos!V17+Datos!AN17))
     ),IF(D_I="SI",(Datos!L17-Datos!V17)/Datos!V17,(Datos!L17+Datos!AF17-(Datos!V17+Datos!AN17))/(Datos!V17+Datos!AN17))," - ")</f>
        <v>-6.4516129032258063E-2</v>
      </c>
      <c r="F17" s="515">
        <f>IF(ISNUMBER((Datos!M17-Datos!W17)/Datos!W17),(Datos!M17-Datos!W17)/Datos!W17," - ")</f>
        <v>-0.04</v>
      </c>
      <c r="G17" s="516">
        <f>IF(ISNUMBER((Datos!N17-Datos!X17)/Datos!X17),(Datos!N17-Datos!X17)/Datos!X17," - ")</f>
        <v>-0.1941747572815534</v>
      </c>
      <c r="H17" s="514">
        <f>IF(ISNUMBER(((NºAsuntos!G17/NºAsuntos!E17)-Datos!BD17)/Datos!BD17),((NºAsuntos!G17/NºAsuntos!E17)-Datos!BD17)/Datos!BD17," - ")</f>
        <v>-0.14929543245869775</v>
      </c>
      <c r="I17" s="515">
        <f>IF(ISNUMBER(((NºAsuntos!I17/NºAsuntos!G17)-Datos!BE17)/Datos!BE17),((NºAsuntos!I17/NºAsuntos!G17)-Datos!BE17)/Datos!BE17," - ")</f>
        <v>0.11461908030199033</v>
      </c>
      <c r="J17" s="521">
        <f>IF(ISNUMBER((('Resol  Asuntos'!D17/NºAsuntos!G17)-Datos!BF17)/Datos!BF17),(('Resol  Asuntos'!D17/NºAsuntos!G17)-Datos!BF17)/Datos!BF17," - ")</f>
        <v>0.14382978723404252</v>
      </c>
      <c r="K17" s="522">
        <f>IF(ISNUMBER((((NºAsuntos!C17+NºAsuntos!E17)/NºAsuntos!G17)-Datos!BG17)/Datos!BG17),(((NºAsuntos!C17+NºAsuntos!E17)/NºAsuntos!G17)-Datos!BG17)/Datos!BG17," - ")</f>
        <v>4.0841281486916028E-2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v>
      </c>
      <c r="G18" s="516">
        <f>IF(ISNUMBER((Datos!N18-Datos!X18)/Datos!X18),(Datos!N18-Datos!X18)/Datos!X18," - ")</f>
        <v>0.33333333333333331</v>
      </c>
      <c r="H18" s="514">
        <f>IF(ISNUMBER(((NºAsuntos!G18/NºAsuntos!E18)-Datos!BD18)/Datos!BD18),((NºAsuntos!G18/NºAsuntos!E18)-Datos!BD18)/Datos!BD18," - ")</f>
        <v>-0.28571428571428564</v>
      </c>
      <c r="I18" s="515">
        <f>IF(ISNUMBER(((NºAsuntos!I18/NºAsuntos!G18)-Datos!BE18)/Datos!BE18),((NºAsuntos!I18/NºAsuntos!G18)-Datos!BE18)/Datos!BE18," - ")</f>
        <v>0.28571428571428581</v>
      </c>
      <c r="J18" s="521">
        <f>IF(ISNUMBER((('Resol  Asuntos'!D18/NºAsuntos!G18)-Datos!BF18)/Datos!BF18),(('Resol  Asuntos'!D18/NºAsuntos!G18)-Datos!BF18)/Datos!BF18," - ")</f>
        <v>0</v>
      </c>
      <c r="K18" s="522">
        <f>IF(ISNUMBER((((NºAsuntos!C18+NºAsuntos!E18)/NºAsuntos!G18)-Datos!BG18)/Datos!BG18),(((NºAsuntos!C18+NºAsuntos!E18)/NºAsuntos!G18)-Datos!BG18)/Datos!BG18," - ")</f>
        <v>0.14285714285714279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-0.256198347107438</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-0.15428571428571428</v>
      </c>
      <c r="E23" s="1152">
        <f>IF(ISNUMBER(
   IF(Criterios!B14="SI",(Datos!L23-Datos!V23)/Datos!V23,(Datos!L23+Datos!AF23-(Datos!V23+Datos!AN23))/(Datos!V23+Datos!AN23))
     ),IF(Criterios!B14="SI",(Datos!L23-Datos!V23)/Datos!V23,(Datos!L23+Datos!AF23-(Datos!V23+Datos!AN23))/(Datos!V23+Datos!AN23))," - ")</f>
        <v>-0.04</v>
      </c>
      <c r="F23" s="1153">
        <f>IF(ISNUMBER((Datos!M23-Datos!W23)/Datos!W23),(Datos!M23-Datos!W23)/Datos!W23," - ")</f>
        <v>-3.8461538461538464E-2</v>
      </c>
      <c r="G23" s="1154">
        <f>IF(ISNUMBER((Datos!N23-Datos!X23)/Datos!X23),(Datos!N23-Datos!X23)/Datos!X23," - ")</f>
        <v>-0.17924528301886791</v>
      </c>
      <c r="H23" s="1154">
        <f>IF(ISNUMBER(((NºAsuntos!G23/NºAsuntos!E23)-Datos!BD23)/Datos!BD23),((NºAsuntos!G23/NºAsuntos!E23)-Datos!BD23)/Datos!BD23," - ")</f>
        <v>-0.15428571428571436</v>
      </c>
      <c r="I23" s="1154">
        <f>IF(ISNUMBER(((NºAsuntos!I23/NºAsuntos!G23)-Datos!BE23)/Datos!BE23),((NºAsuntos!I23/NºAsuntos!G23)-Datos!BE23)/Datos!BE23," - ")</f>
        <v>0.13513513513513525</v>
      </c>
      <c r="J23" s="1154">
        <f>IF(ISNUMBER((('Resol  Asuntos'!D23/NºAsuntos!G23)-Datos!BF23)/Datos!BF23),(('Resol  Asuntos'!D23/NºAsuntos!G23)-Datos!BF23)/Datos!BF23," - ")</f>
        <v>0.13695426195426189</v>
      </c>
      <c r="K23" s="1154">
        <f>IF(ISNUMBER((((NºAsuntos!C23+NºAsuntos!E23)/NºAsuntos!G23)-Datos!BG23)/Datos!BG23),(((NºAsuntos!C23+NºAsuntos!E23)/NºAsuntos!G23)-Datos!BG23)/Datos!BG23," - ")</f>
        <v>4.9140049140049186E-2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-0.14414414414414414</v>
      </c>
      <c r="C31" s="1092">
        <f>IF(ISNUMBER(
   IF(J_V="SI",(Datos!J31-Datos!T31)/Datos!T31,(Datos!J31+Datos!Z31-(Datos!T31+Datos!AH31))/(Datos!T31+Datos!AH31))
     ),IF(J_V="SI",(Datos!J31-Datos!T31)/Datos!T31,(Datos!J31+Datos!Z31-(Datos!T31+Datos!AH31))/(Datos!T31+Datos!AH31))," - ")</f>
        <v>0</v>
      </c>
      <c r="D31" s="1092">
        <f>IF(ISNUMBER(
   IF(J_V="SI",(Datos!K31-Datos!U31)/Datos!U31,(Datos!K31+Datos!AA31-(Datos!U31+Datos!AI31))/(Datos!U31+Datos!AI31))
     ),IF(J_V="SI",(Datos!K31-Datos!U31)/Datos!U31,(Datos!K31+Datos!AA31-(Datos!U31+Datos!AI31))/(Datos!U31+Datos!AI31))," - ")</f>
        <v>-2.4242424242424242E-2</v>
      </c>
      <c r="E31" s="1092">
        <f>IF(ISNUMBER(
   IF(J_V="SI",(Datos!L31-Datos!V31)/Datos!V31,(Datos!L31+Datos!AB31-(Datos!V31+Datos!AJ31))/(Datos!V31+Datos!AJ31))
     ),IF(J_V="SI",(Datos!L31-Datos!V31)/Datos!V31,(Datos!L31+Datos!AB31-(Datos!V31+Datos!AJ31))/(Datos!V31+Datos!AJ31))," - ")</f>
        <v>-0.13647642679900746</v>
      </c>
      <c r="F31" s="1093">
        <f>IF(ISNUMBER((Datos!M31-Datos!W31)/Datos!W31),(Datos!M31-Datos!W31)/Datos!W31," - ")</f>
        <v>0.15</v>
      </c>
      <c r="G31" s="1094">
        <f>IF(ISNUMBER((Datos!N31-Datos!X31)/Datos!X31),(Datos!N31-Datos!X31)/Datos!X31," - ")</f>
        <v>-0.13592233009708737</v>
      </c>
      <c r="H31" s="1095">
        <f>IF(ISNUMBER((Tasas!B31-Datos!BD31)/Datos!BD31),(Tasas!B31-Datos!BD31)/Datos!BD31," - ")</f>
        <v>-2.4242424242424229E-2</v>
      </c>
      <c r="I31" s="1096">
        <f>IF(ISNUMBER((Tasas!C31-Datos!BE31)/Datos!BE31),(Tasas!C31-Datos!BE31)/Datos!BE31," - ")</f>
        <v>-0.11502242498034923</v>
      </c>
      <c r="J31" s="1097">
        <f>IF(ISNUMBER((Tasas!D31-Datos!BF31)/Datos!BF31),(Tasas!D31-Datos!BF31)/Datos!BF31," - ")</f>
        <v>0.11361079865016872</v>
      </c>
      <c r="K31" s="1097">
        <f>IF(ISNUMBER((Tasas!E31-Datos!BG31)/Datos!BG31),(Tasas!E31-Datos!BG31)/Datos!BG31," - ")</f>
        <v>-4.8195437756781798E-2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ek/SJ4nkNSTGGeNTEYBfkcD9dVv5AhSwFKoGANcIDkbZpDB9o0QNuqs9+xe6+dRyPsatrgeOlM0pQqCuM53rA==" saltValue="5Rvmo6RCwBuGcjM0Vg+U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A ESTRADA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1.1170568561872909</v>
      </c>
      <c r="C12" s="498">
        <f>IF(ISNUMBER(NºAsuntos!I12/NºAsuntos!G12),NºAsuntos!I12/NºAsuntos!G12," - ")</f>
        <v>0.73952095808383234</v>
      </c>
      <c r="D12" s="499">
        <f>IF(ISNUMBER('Resol  Asuntos'!D12/NºAsuntos!G12),'Resol  Asuntos'!D12/NºAsuntos!G12," - ")</f>
        <v>0.33532934131736525</v>
      </c>
      <c r="E12" s="500">
        <f>IF(ISNUMBER((NºAsuntos!C12+NºAsuntos!E12)/NºAsuntos!G12),(NºAsuntos!C12+NºAsuntos!E12)/NºAsuntos!G12," - ")</f>
        <v>1.7485029940119761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1.1166666666666667</v>
      </c>
      <c r="C14" s="1156">
        <f>IF(ISNUMBER(NºAsuntos!I14/NºAsuntos!G14),NºAsuntos!I14/NºAsuntos!G14," - ")</f>
        <v>0.75223880597014925</v>
      </c>
      <c r="D14" s="1157">
        <f>IF(ISNUMBER('Resol  Asuntos'!D14/NºAsuntos!G14),'Resol  Asuntos'!D14/NºAsuntos!G14," - ")</f>
        <v>0.33731343283582088</v>
      </c>
      <c r="E14" s="1158">
        <f>IF(ISNUMBER((NºAsuntos!C14+NºAsuntos!E14)/NºAsuntos!G14),(NºAsuntos!C14+NºAsuntos!E14)/NºAsuntos!G14," - ")</f>
        <v>1.7611940298507462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0.95918367346938771</v>
      </c>
      <c r="C17" s="498">
        <f>IF(ISNUMBER(NºAsuntos!I17/NºAsuntos!G17),NºAsuntos!I17/NºAsuntos!G17," - ")</f>
        <v>0.61702127659574468</v>
      </c>
      <c r="D17" s="499">
        <f>IF(ISNUMBER('Resol  Asuntos'!D17/NºAsuntos!G17),'Resol  Asuntos'!D17/NºAsuntos!G17," - ")</f>
        <v>0.1702127659574468</v>
      </c>
      <c r="E17" s="500">
        <f>IF(ISNUMBER((NºAsuntos!C17+NºAsuntos!E17)/NºAsuntos!G17),(NºAsuntos!C17+NºAsuntos!E17)/NºAsuntos!G17," - ")</f>
        <v>1.6170212765957446</v>
      </c>
      <c r="G17" s="523"/>
    </row>
    <row r="18" spans="1:7">
      <c r="A18" s="450" t="str">
        <f>Datos!A18</f>
        <v>Jdos. Violencia contra la mujer</v>
      </c>
      <c r="B18" s="497">
        <f>IF(ISNUMBER(NºAsuntos!G18/NºAsuntos!E18),NºAsuntos!G18/NºAsuntos!E18," - ")</f>
        <v>1</v>
      </c>
      <c r="C18" s="498">
        <f>IF(ISNUMBER(NºAsuntos!I18/NºAsuntos!G18),NºAsuntos!I18/NºAsuntos!G18," - ")</f>
        <v>1.2857142857142858</v>
      </c>
      <c r="D18" s="499">
        <f>IF(ISNUMBER('Resol  Asuntos'!D18/NºAsuntos!G18),'Resol  Asuntos'!D18/NºAsuntos!G18," - ")</f>
        <v>0.14285714285714285</v>
      </c>
      <c r="E18" s="500">
        <f>IF(ISNUMBER((NºAsuntos!C18+NºAsuntos!E18)/NºAsuntos!G18),(NºAsuntos!C18+NºAsuntos!E18)/NºAsuntos!G18," - ")</f>
        <v>2.2857142857142856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0.96103896103896103</v>
      </c>
      <c r="C23" s="1156">
        <f>IF(ISNUMBER(NºAsuntos!I23/NºAsuntos!G23),NºAsuntos!I23/NºAsuntos!G23," - ")</f>
        <v>0.64864864864864868</v>
      </c>
      <c r="D23" s="1159">
        <f>IF(ISNUMBER('Resol  Asuntos'!D23/NºAsuntos!G23),'Resol  Asuntos'!D23/NºAsuntos!G23," - ")</f>
        <v>0.16891891891891891</v>
      </c>
      <c r="E23" s="1158">
        <f>IF(ISNUMBER((NºAsuntos!C23+NºAsuntos!E23)/NºAsuntos!G23),(NºAsuntos!C23+NºAsuntos!E23)/NºAsuntos!G23," - ")</f>
        <v>1.6486486486486487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1.0638766519823788</v>
      </c>
      <c r="C31" s="1099">
        <f>IF(ISNUMBER(NºAsuntos!I31/NºAsuntos!G31),NºAsuntos!I31/NºAsuntos!G31," - ")</f>
        <v>0.72049689440993792</v>
      </c>
      <c r="D31" s="1100">
        <f>IF(ISNUMBER('Resol  Asuntos'!D31/NºAsuntos!G31),'Resol  Asuntos'!D31/NºAsuntos!G31," - ")</f>
        <v>0.2857142857142857</v>
      </c>
      <c r="E31" s="1101">
        <f>IF(ISNUMBER((NºAsuntos!C31+NºAsuntos!E31)/NºAsuntos!G31),(NºAsuntos!C31+NºAsuntos!E31)/NºAsuntos!G31," - ")</f>
        <v>1.7267080745341614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g3qomn1lS1kiOkody8IKnstRyFnDNPDLO5HoDCaqv0YYNnlT77s0f784OzN0Nfbms6bhBAifoOnNaYgKRBfCg==" saltValue="2d2hBqEu42I5qGLHFn+T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A ESTRADA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1.1170568561872909</v>
      </c>
      <c r="AM12" s="284">
        <f>IF(ISNUMBER(((NºAsuntos!I12/NºAsuntos!G12)*11)/factor_trimestre),((NºAsuntos!I12/NºAsuntos!G12)*11)/factor_trimestre," - ")</f>
        <v>2.2185628742514973</v>
      </c>
      <c r="AN12" s="267">
        <f>IF(ISNUMBER('Resol  Asuntos'!D12/NºAsuntos!G12),'Resol  Asuntos'!D12/NºAsuntos!G12," - ")</f>
        <v>0.33532934131736525</v>
      </c>
      <c r="AO12" s="268">
        <f>IF(ISNUMBER((NºAsuntos!C12+NºAsuntos!E12)/NºAsuntos!G12),(NºAsuntos!C12+NºAsuntos!E12)/NºAsuntos!G12," - ")</f>
        <v>1.7485029940119761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52</v>
      </c>
      <c r="Y14" s="1165">
        <f t="shared" si="6"/>
        <v>53</v>
      </c>
      <c r="Z14" s="1165">
        <f t="shared" si="6"/>
        <v>0</v>
      </c>
      <c r="AA14" s="1165">
        <f t="shared" si="6"/>
        <v>5</v>
      </c>
      <c r="AB14" s="1165">
        <f t="shared" si="6"/>
        <v>782</v>
      </c>
      <c r="AC14" s="1165">
        <f t="shared" si="6"/>
        <v>9</v>
      </c>
      <c r="AD14" s="1165">
        <f t="shared" si="6"/>
        <v>0</v>
      </c>
      <c r="AE14" s="1169">
        <f t="shared" si="6"/>
        <v>0</v>
      </c>
      <c r="AF14" s="1162">
        <f t="shared" si="6"/>
        <v>0</v>
      </c>
      <c r="AG14" s="1170">
        <f t="shared" si="6"/>
        <v>0</v>
      </c>
      <c r="AH14" s="1167">
        <f t="shared" si="6"/>
        <v>0</v>
      </c>
      <c r="AI14" s="1162">
        <f t="shared" si="6"/>
        <v>113</v>
      </c>
      <c r="AJ14" s="1164">
        <f t="shared" si="6"/>
        <v>0</v>
      </c>
      <c r="AK14" s="1167">
        <f>SUBTOTAL(9,AK9:AK13)</f>
        <v>0</v>
      </c>
      <c r="AL14" s="1171">
        <f>IF(ISNUMBER(NºAsuntos!G14/NºAsuntos!E14),NºAsuntos!G14/NºAsuntos!E14," - ")</f>
        <v>1.1166666666666667</v>
      </c>
      <c r="AM14" s="1171">
        <f>IF(ISNUMBER(((NºAsuntos!I14/NºAsuntos!G14)*11)/factor_trimestre),((NºAsuntos!I14/NºAsuntos!G14)*11)/factor_trimestre," - ")</f>
        <v>2.256716417910448</v>
      </c>
      <c r="AN14" s="1172">
        <f>IF(ISNUMBER('Resol  Asuntos'!D14/NºAsuntos!G14),'Resol  Asuntos'!D14/NºAsuntos!G14," - ")</f>
        <v>0.33731343283582088</v>
      </c>
      <c r="AO14" s="1173">
        <f>IF(ISNUMBER((NºAsuntos!C14+NºAsuntos!E14)/NºAsuntos!G14),(NºAsuntos!C14+NºAsuntos!E14)/NºAsuntos!G14," - ")</f>
        <v>1.7611940298507462</v>
      </c>
      <c r="AP14" s="1174" t="str">
        <f t="shared" si="2"/>
        <v xml:space="preserve"> - </v>
      </c>
      <c r="AQ14" s="1174">
        <f>IF(ISNUMBER((H14-W14+K14)/(F14)),(H14-W14+K14)/(F14)," - ")</f>
        <v>-0.2</v>
      </c>
      <c r="AR14" s="1175">
        <f>IF(ISNUMBER((Datos!P14-Datos!Q14)/(Datos!R14-Datos!P14+Datos!Q14)),(Datos!P14-Datos!Q14)/(Datos!R14-Datos!P14+Datos!Q14)," - ")</f>
        <v>2.6246719160104987E-2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81</v>
      </c>
      <c r="G17" s="373">
        <f>IF(ISNUMBER(IF(D_I="SI",Datos!I17,Datos!I17+Datos!AC17)),IF(D_I="SI",Datos!I17,Datos!I17+Datos!AC17)," - ")</f>
        <v>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141</v>
      </c>
      <c r="X17" s="240">
        <f>IF(ISNUMBER(Datos!Q17),Datos!Q17," - ")</f>
        <v>7</v>
      </c>
      <c r="Y17" s="374">
        <f t="shared" ref="Y17:Y22" si="9">SUM(W17:X17)</f>
        <v>148</v>
      </c>
      <c r="Z17" s="375" t="str">
        <f>IF(ISNUMBER(Datos!CC17),Datos!CC17," - ")</f>
        <v xml:space="preserve"> - </v>
      </c>
      <c r="AA17" s="372">
        <f>IF(ISNUMBER(IF(D_I="SI",Datos!L17,Datos!L17+Datos!AF17)),IF(D_I="SI",Datos!L17,Datos!L17+Datos!AF17)," - ")</f>
        <v>87</v>
      </c>
      <c r="AB17" s="374">
        <f>IF(ISNUMBER(Datos!R17),Datos!R17," - ")</f>
        <v>14</v>
      </c>
      <c r="AC17" s="374">
        <f t="shared" si="8"/>
        <v>101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v>
      </c>
      <c r="AJ17" s="245" t="str">
        <f>IF(ISNUMBER(Datos!BW17),Datos!BW17," - ")</f>
        <v xml:space="preserve"> - </v>
      </c>
      <c r="AK17" s="246" t="str">
        <f>IF(ISNUMBER(Datos!BX17),Datos!BX17," - ")</f>
        <v xml:space="preserve"> - </v>
      </c>
      <c r="AL17" s="266">
        <f>IF(ISNUMBER(NºAsuntos!G17/NºAsuntos!E17),NºAsuntos!G17/NºAsuntos!E17," - ")</f>
        <v>0.95918367346938771</v>
      </c>
      <c r="AM17" s="284">
        <f>IF(ISNUMBER(((NºAsuntos!I17/NºAsuntos!G17)*11)/factor_trimestre),((NºAsuntos!I17/NºAsuntos!G17)*11)/factor_trimestre," - ")</f>
        <v>1.8510638297872342</v>
      </c>
      <c r="AN17" s="267">
        <f>IF(ISNUMBER('Resol  Asuntos'!D17/NºAsuntos!G17),'Resol  Asuntos'!D17/NºAsuntos!G17," - ")</f>
        <v>0.1702127659574468</v>
      </c>
      <c r="AO17" s="268">
        <f>IF(ISNUMBER((NºAsuntos!C17+NºAsuntos!E17)/NºAsuntos!G17),(NºAsuntos!C17+NºAsuntos!E17)/NºAsuntos!G17," - ")</f>
        <v>1.6170212765957446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3.8571428571428577</v>
      </c>
      <c r="AN18" s="267">
        <f>IF(ISNUMBER('Resol  Asuntos'!D18/NºAsuntos!G18),'Resol  Asuntos'!D18/NºAsuntos!G18," - ")</f>
        <v>0.14285714285714285</v>
      </c>
      <c r="AO18" s="268">
        <f>IF(ISNUMBER((NºAsuntos!C18+NºAsuntos!E18)/NºAsuntos!G18),(NºAsuntos!C18+NºAsuntos!E18)/NºAsuntos!G18," - ")</f>
        <v>2.2857142857142856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81</v>
      </c>
      <c r="G23" s="1163">
        <f>SUBTOTAL(9,G16:G22)</f>
        <v>90</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148</v>
      </c>
      <c r="X23" s="1164">
        <f t="shared" si="14"/>
        <v>7</v>
      </c>
      <c r="Y23" s="1165">
        <f t="shared" si="14"/>
        <v>155</v>
      </c>
      <c r="Z23" s="1165">
        <f t="shared" si="14"/>
        <v>0</v>
      </c>
      <c r="AA23" s="1165">
        <f t="shared" si="14"/>
        <v>96</v>
      </c>
      <c r="AB23" s="1165">
        <f t="shared" si="14"/>
        <v>14</v>
      </c>
      <c r="AC23" s="1165">
        <f t="shared" si="14"/>
        <v>110</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0.96103896103896103</v>
      </c>
      <c r="AM23" s="1171">
        <f>IF(ISNUMBER(((NºAsuntos!I23/NºAsuntos!G23)*11)/factor_trimestre),((NºAsuntos!I23/NºAsuntos!G23)*11)/factor_trimestre," - ")</f>
        <v>1.9459459459459461</v>
      </c>
      <c r="AN23" s="1172">
        <f>IF(ISNUMBER('Resol  Asuntos'!D23/NºAsuntos!G23),'Resol  Asuntos'!D23/NºAsuntos!G23," - ")</f>
        <v>0.16891891891891891</v>
      </c>
      <c r="AO23" s="1173">
        <f>IF(ISNUMBER((NºAsuntos!C23+NºAsuntos!E23)/NºAsuntos!G23),(NºAsuntos!C23+NºAsuntos!E23)/NºAsuntos!G23," - ")</f>
        <v>1.6486486486486487</v>
      </c>
      <c r="AP23" s="1174" t="str">
        <f t="shared" si="2"/>
        <v xml:space="preserve"> - </v>
      </c>
      <c r="AQ23" s="1174">
        <f>IF(ISNUMBER((H23-W23+K23)/(F23)),(H23-W23+K23)/(F23)," - ")</f>
        <v>-1.8271604938271604</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86</v>
      </c>
      <c r="G31" s="1118">
        <f t="shared" si="20"/>
        <v>95</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149</v>
      </c>
      <c r="X31" s="1118">
        <f t="shared" si="21"/>
        <v>59</v>
      </c>
      <c r="Y31" s="1125">
        <f t="shared" si="21"/>
        <v>208</v>
      </c>
      <c r="Z31" s="1125">
        <f t="shared" si="21"/>
        <v>0</v>
      </c>
      <c r="AA31" s="1125">
        <f t="shared" si="21"/>
        <v>101</v>
      </c>
      <c r="AB31" s="1125">
        <f t="shared" si="21"/>
        <v>796</v>
      </c>
      <c r="AC31" s="1125">
        <f t="shared" si="21"/>
        <v>119</v>
      </c>
      <c r="AD31" s="1125">
        <f t="shared" si="21"/>
        <v>0</v>
      </c>
      <c r="AE31" s="1127">
        <f t="shared" si="21"/>
        <v>0</v>
      </c>
      <c r="AF31" s="1128">
        <f t="shared" si="21"/>
        <v>0</v>
      </c>
      <c r="AG31" s="1129">
        <f t="shared" si="21"/>
        <v>0</v>
      </c>
      <c r="AH31" s="1127">
        <f t="shared" si="21"/>
        <v>0</v>
      </c>
      <c r="AI31" s="1117">
        <f t="shared" si="21"/>
        <v>138</v>
      </c>
      <c r="AJ31" s="1117">
        <f t="shared" si="21"/>
        <v>0</v>
      </c>
      <c r="AK31" s="1127">
        <f t="shared" si="21"/>
        <v>0</v>
      </c>
      <c r="AL31" s="1183">
        <f>IF(ISNUMBER(NºAsuntos!G31/NºAsuntos!E31),NºAsuntos!G31/NºAsuntos!E31," - ")</f>
        <v>1.0638766519823788</v>
      </c>
      <c r="AM31" s="1184">
        <f>IF(ISNUMBER(((NºAsuntos!I31/NºAsuntos!G31)*11)/factor_trimestre),((NºAsuntos!I31/NºAsuntos!G31)*11)/factor_trimestre," - ")</f>
        <v>2.1614906832298137</v>
      </c>
      <c r="AN31" s="1184">
        <f>IF(ISNUMBER('Resol  Asuntos'!D31/NºAsuntos!G31),'Resol  Asuntos'!D31/NºAsuntos!G31," - ")</f>
        <v>0.2857142857142857</v>
      </c>
      <c r="AO31" s="1185">
        <f>IF(ISNUMBER((NºAsuntos!C31+NºAsuntos!E31)/NºAsuntos!G31),(NºAsuntos!C31+NºAsuntos!E31)/NºAsuntos!G31," - ")</f>
        <v>1.7267080745341614</v>
      </c>
      <c r="AP31" s="1186" t="str">
        <f t="shared" si="2"/>
        <v xml:space="preserve"> - </v>
      </c>
      <c r="AQ31" s="1187">
        <f>IF(OR(ISNUMBER(FIND("01",Criterios!A8,1)),ISNUMBER(FIND("02",Criterios!A8,1)),ISNUMBER(FIND("03",Criterios!A8,1)),ISNUMBER(FIND("04",Criterios!A8,1))),(I31-W31+K31)/(F31-K31),(H31-W31+K31)/(F31-K31))</f>
        <v>-1.7325581395348837</v>
      </c>
      <c r="AR31" s="1188">
        <f>IF(ISNUMBER((Datos!P31-Datos!Q31)/(Datos!R31-Datos!P31+Datos!Q31)),(Datos!P31-Datos!Q31)/(Datos!R31-Datos!P31+Datos!Q31)," - ")</f>
        <v>2.0512820512820513E-2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40.598850558441512</v>
      </c>
      <c r="G33" s="277">
        <f>IF(ISNUMBER(STDEV(G8:G30)),STDEV(G8:G30),"-")</f>
        <v>40.072553247946701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69.701403962084683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49.271840697443871</v>
      </c>
      <c r="AJ33" s="276">
        <f t="shared" si="25"/>
        <v>0</v>
      </c>
      <c r="AK33" s="278">
        <f t="shared" si="25"/>
        <v>0</v>
      </c>
      <c r="AL33" s="273">
        <f t="shared" si="25"/>
        <v>7.2866248060635574E-2</v>
      </c>
      <c r="AM33" s="274">
        <f t="shared" si="25"/>
        <v>5.1853216821246528</v>
      </c>
      <c r="AN33" s="274">
        <f t="shared" si="25"/>
        <v>0.32569946656612137</v>
      </c>
      <c r="AO33" s="275">
        <f t="shared" si="25"/>
        <v>1.7268658957067422</v>
      </c>
      <c r="AP33" s="317" t="str">
        <f t="shared" si="25"/>
        <v>-</v>
      </c>
      <c r="AQ33" s="318">
        <f t="shared" si="25"/>
        <v>1.1505762192640365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fqsE4DJIOZbRv2rXAbXOEal5H5riURB357TN7rzfCWpaxryqu5zMGSRCyZtkoJ4ONON/ViSnfgL5dWvihkxhg==" saltValue="1iSDenGDtSsj7MKdNhTx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A ESTRADA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0</v>
      </c>
      <c r="G10" s="394">
        <f>IF(ISNUMBER((Datos!L10-Datos!V10)/Datos!V10),(Datos!L10-Datos!V10)/Datos!V10," - ")</f>
        <v>0.25</v>
      </c>
      <c r="H10" s="244">
        <f>IF(ISNUMBER((Datos!M10-Datos!W10)/Datos!W10),(Datos!M10-Datos!W10)/Datos!W10," - ")</f>
        <v>0</v>
      </c>
      <c r="I10" s="395">
        <f>IF(ISNUMBER((Tasas!C10-Datos!BE10)/Datos!BE10),(Tasas!C10-Datos!BE10)/Datos!BE10," - ")</f>
        <v>0.25</v>
      </c>
      <c r="J10" s="394">
        <f>IF(ISNUMBER((Tasas!D10-Datos!BF10)/Datos!BF10),(Tasas!D10-Datos!BF10)/Datos!BF10," - ")</f>
        <v>0</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0.20430107526881722</v>
      </c>
      <c r="I12" s="395">
        <f>IF(ISNUMBER((Tasas!C12-Datos!BE12)/Datos!BE12),(Tasas!C12-Datos!BE12)/Datos!BE12," - ")</f>
        <v>-0.21101275709450665</v>
      </c>
      <c r="J12" s="394">
        <f>IF(ISNUMBER((Tasas!D12-Datos!BF12)/Datos!BF12),(Tasas!D12-Datos!BF12)/Datos!BF12," - ")</f>
        <v>6.9700598802395056E-2</v>
      </c>
      <c r="K12" s="396">
        <f>IF(ISNUMBER((Tasas!E12-Datos!BG12)/Datos!BG12),(Tasas!E12-Datos!BG12)/Datos!BG12," - ")</f>
        <v>-9.7455574288316513E-2</v>
      </c>
      <c r="M12" t="e">
        <f>IF(Monitorios="SI",Datos!CE12,0)</f>
        <v>#REF!</v>
      </c>
      <c r="N12" t="e">
        <f>IF(Monitorios="SI",Datos!CF12,0)</f>
        <v>#REF!</v>
      </c>
      <c r="O12" t="e">
        <f>IF(Monitorios="SI",Datos!CG12,0)</f>
        <v>#REF!</v>
      </c>
      <c r="P12" t="e">
        <f>IF(Monitorios="SI",Datos!CH12,0)</f>
        <v>#REF!</v>
      </c>
      <c r="Q12">
        <f>IF(J_V="SI",0,Datos!AG12)</f>
        <v>67</v>
      </c>
      <c r="R12">
        <f>IF(J_V="SI",0,Datos!AH12)</f>
        <v>50</v>
      </c>
      <c r="S12">
        <f>IF(J_V="SI",0,Datos!AI12)</f>
        <v>47</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0.20212765957446807</v>
      </c>
      <c r="I14" s="402">
        <f>IF(ISNUMBER((Tasas!C14-Datos!BE14)/Datos!BE14),(Tasas!C14-Datos!BE14)/Datos!BE14," - ")</f>
        <v>-0.20555637653317574</v>
      </c>
      <c r="J14" s="400">
        <f>IF(ISNUMBER((Tasas!D14-Datos!BF14)/Datos!BF14),(Tasas!D14-Datos!BF14)/Datos!BF14," - ")</f>
        <v>6.8715826806561242E-2</v>
      </c>
      <c r="K14" s="403">
        <f>IF(ISNUMBER((Tasas!E14-Datos!BG14)/Datos!BG14),(Tasas!E14-Datos!BG14)/Datos!BG14," - ")</f>
        <v>-9.5373853046165608E-2</v>
      </c>
      <c r="M14" t="e">
        <f>IF(Monitorios="SI",Datos!CE14,0)</f>
        <v>#REF!</v>
      </c>
      <c r="N14" t="e">
        <f>IF(Monitorios="SI",Datos!CF14,0)</f>
        <v>#REF!</v>
      </c>
      <c r="O14" t="e">
        <f>IF(Monitorios="SI",Datos!CG14,0)</f>
        <v>#REF!</v>
      </c>
      <c r="P14" t="e">
        <f>IF(Monitorios="SI",Datos!CH14,0)</f>
        <v>#REF!</v>
      </c>
      <c r="Q14">
        <f>IF(J_V="SI",0,Datos!AG14)</f>
        <v>67</v>
      </c>
      <c r="R14">
        <f>IF(J_V="SI",0,Datos!AH14)</f>
        <v>50</v>
      </c>
      <c r="S14">
        <f>IF(J_V="SI",0,Datos!AI14)</f>
        <v>47</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-0.2767857142857143</v>
      </c>
      <c r="E17" s="393">
        <f>IF(ISNUMBER(
   IF(D_I="SI",(Datos!J17-Datos!T17)/Datos!T17,(Datos!J17+Datos!AD17-(Datos!T17+Datos!AL17))/(Datos!T17+Datos!AL17))
     ),IF(D_I="SI",(Datos!J17-Datos!T17)/Datos!T17,(Datos!J17+Datos!AD17-(Datos!T17+Datos!AL17))/(Datos!T17+Datos!AL17))," - ")</f>
        <v>-1.3422818791946308E-2</v>
      </c>
      <c r="F17" s="393">
        <f>IF(ISNUMBER(
   IF(D_I="SI",(Datos!K17-Datos!U17)/Datos!U17,(Datos!K17+Datos!AE17-(Datos!U17+Datos!AM17))/(Datos!U17+Datos!AM17))
     ),IF(D_I="SI",(Datos!K17-Datos!U17)/Datos!U17,(Datos!K17+Datos!AE17-(Datos!U17+Datos!AM17))/(Datos!U17+Datos!AM17))," - ")</f>
        <v>-0.16071428571428573</v>
      </c>
      <c r="G17" s="394">
        <f>IF(ISNUMBER(
   IF(D_I="SI",(Datos!L17-Datos!V17)/Datos!V17,(Datos!L17+Datos!AF17-(Datos!V17+Datos!AN17))/(Datos!V17+Datos!AN17))
     ),IF(D_I="SI",(Datos!L17-Datos!V17)/Datos!V17,(Datos!L17+Datos!AF17-(Datos!V17+Datos!AN17))/(Datos!V17+Datos!AN17))," - ")</f>
        <v>-6.4516129032258063E-2</v>
      </c>
      <c r="H17" s="244">
        <f>IF(ISNUMBER((Datos!M17-Datos!W17)/Datos!W17),(Datos!M17-Datos!W17)/Datos!W17," - ")</f>
        <v>-0.04</v>
      </c>
      <c r="I17" s="395">
        <f>IF(ISNUMBER((Tasas!C17-Datos!BE17)/Datos!BE17),(Tasas!C17-Datos!BE17)/Datos!BE17," - ")</f>
        <v>0.11461908030199033</v>
      </c>
      <c r="J17" s="394">
        <f>IF(ISNUMBER((Tasas!D17-Datos!BF17)/Datos!BF17),(Tasas!D17-Datos!BF17)/Datos!BF17," - ")</f>
        <v>0.14382978723404252</v>
      </c>
      <c r="K17" s="396">
        <f>IF(ISNUMBER((Tasas!E17-Datos!BG17)/Datos!BG17),(Tasas!E17-Datos!BG17)/Datos!BG17," - ")</f>
        <v>4.0841281486916028E-2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v>
      </c>
      <c r="I18" s="395">
        <f>IF(ISNUMBER((Tasas!C18-Datos!BE18)/Datos!BE18),(Tasas!C18-Datos!BE18)/Datos!BE18," - ")</f>
        <v>0.28571428571428581</v>
      </c>
      <c r="J18" s="394">
        <f>IF(ISNUMBER((Tasas!D18-Datos!BF18)/Datos!BF18),(Tasas!D18-Datos!BF18)/Datos!BF18," - ")</f>
        <v>0</v>
      </c>
      <c r="K18" s="396">
        <f>IF(ISNUMBER((Tasas!E18-Datos!BG18)/Datos!BG18),(Tasas!E18-Datos!BG18)/Datos!BG18," - ")</f>
        <v>0.14285714285714279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-0.256198347107438</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-0.15428571428571428</v>
      </c>
      <c r="G23" s="400">
        <f>IF(ISNUMBER(
   IF(D_I="SI",(Datos!L23-Datos!V23)/Datos!V23,(Datos!L23+Datos!AF23-(Datos!V23+Datos!AN23))/(Datos!V23+Datos!AN23))
     ),IF(D_I="SI",(Datos!L23-Datos!V23)/Datos!V23,(Datos!L23+Datos!AF23-(Datos!V23+Datos!AN23))/(Datos!V23+Datos!AN23))," - ")</f>
        <v>-0.04</v>
      </c>
      <c r="H23" s="401">
        <f>IF(ISNUMBER((Datos!M23-Datos!W23)/Datos!W23),(Datos!M23-Datos!W23)/Datos!W23," - ")</f>
        <v>-3.8461538461538464E-2</v>
      </c>
      <c r="I23" s="402">
        <f>IF(ISNUMBER((Tasas!C23-Datos!BE23)/Datos!BE23),(Tasas!C23-Datos!BE23)/Datos!BE23," - ")</f>
        <v>0.13513513513513525</v>
      </c>
      <c r="J23" s="400">
        <f>IF(ISNUMBER((Tasas!D23-Datos!BF23)/Datos!BF23),(Tasas!D23-Datos!BF23)/Datos!BF23," - ")</f>
        <v>0.13695426195426189</v>
      </c>
      <c r="K23" s="403">
        <f>IF(ISNUMBER((Tasas!E23-Datos!BG23)/Datos!BG23),(Tasas!E23-Datos!BG23)/Datos!BG23," - ")</f>
        <v>4.9140049140049186E-2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-0.14414414414414414</v>
      </c>
      <c r="E31" s="409">
        <f>IF(ISNUMBER(
   IF(J_V="SI",(Datos!J31-Datos!T31)/Datos!T31,(Datos!J31+Datos!Z31-(Datos!T31+Datos!AH31))/(Datos!T31+Datos!AH31))
     ),IF(J_V="SI",(Datos!J31-Datos!T31)/Datos!T31,(Datos!J31+Datos!Z31-(Datos!T31+Datos!AH31))/(Datos!T31+Datos!AH31))," - ")</f>
        <v>0</v>
      </c>
      <c r="F31" s="409">
        <f>IF(ISNUMBER(
   IF(J_V="SI",(Datos!K31-Datos!U31)/Datos!U31,(Datos!K31+Datos!AA31-(Datos!U31+Datos!AI31))/(Datos!U31+Datos!AI31))
     ),IF(J_V="SI",(Datos!K31-Datos!U31)/Datos!U31,(Datos!K31+Datos!AA31-(Datos!U31+Datos!AI31))/(Datos!U31+Datos!AI31))," - ")</f>
        <v>-2.4242424242424242E-2</v>
      </c>
      <c r="G31" s="410">
        <f>IF(ISNUMBER(
   IF(J_V="SI",(Datos!L31-Datos!V31)/Datos!V31,(Datos!L31+Datos!AB31-(Datos!V31+Datos!AJ31))/(Datos!V31+Datos!AJ31))
     ),IF(J_V="SI",(Datos!L31-Datos!V31)/Datos!V31,(Datos!L31+Datos!AB31-(Datos!V31+Datos!AJ31))/(Datos!V31+Datos!AJ31))," - ")</f>
        <v>-0.13647642679900746</v>
      </c>
      <c r="H31" s="411">
        <f>IF(ISNUMBER((Datos!M31-Datos!W31)/Datos!W31),(Datos!M31-Datos!W31)/Datos!W31," - ")</f>
        <v>0.15</v>
      </c>
      <c r="I31" s="408">
        <f>IF(ISNUMBER((Tasas!C31-Datos!BE31)/Datos!BE31),(Tasas!C31-Datos!BE31)/Datos!BE31," - ")</f>
        <v>-0.11502242498034923</v>
      </c>
      <c r="J31" s="409">
        <f>IF(ISNUMBER((Tasas!D31-Datos!BF31)/Datos!BF31),(Tasas!D31-Datos!BF31)/Datos!BF31," - ")</f>
        <v>0.11361079865016872</v>
      </c>
      <c r="K31" s="410">
        <f>IF(ISNUMBER((Tasas!E31-Datos!BG31)/Datos!BG31),(Tasas!E31-Datos!BG31)/Datos!BG31," - ")</f>
        <v>-4.8195437756781798E-2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0.2481450717776435</v>
      </c>
      <c r="E33" s="303">
        <f t="shared" si="1"/>
        <v>0.20233610059060178</v>
      </c>
      <c r="F33" s="303">
        <f t="shared" si="1"/>
        <v>9.0970532344831531E-2</v>
      </c>
      <c r="G33" s="304">
        <f t="shared" si="1"/>
        <v>0.18566279593664498</v>
      </c>
      <c r="H33" s="310">
        <f t="shared" si="1"/>
        <v>0.11640165784454402</v>
      </c>
      <c r="I33" s="302">
        <f t="shared" si="1"/>
        <v>0.21892024807008115</v>
      </c>
      <c r="J33" s="303">
        <f t="shared" si="1"/>
        <v>6.2825699962101744E-2</v>
      </c>
      <c r="K33" s="304">
        <f t="shared" si="1"/>
        <v>0.12123032217016859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oNdtukL6JAuXLwEnNf1gsQ6PslbxubUJp0pWbBTUSKXbbwSqMgmTEV9wxGVf+cSEDuv8UVQ+itdDjntRn7C4w==" saltValue="Kyla8GBYxPLnTntB6FCX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